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bookViews>
    <workbookView xWindow="10140" yWindow="0" windowWidth="10455" windowHeight="10905" tabRatio="706" activeTab="8"/>
  </bookViews>
  <sheets>
    <sheet name="Checklist" sheetId="57" r:id="rId1"/>
    <sheet name="F1" sheetId="58" r:id="rId2"/>
    <sheet name="F2" sheetId="66" r:id="rId3"/>
    <sheet name="F2.1" sheetId="67" r:id="rId4"/>
    <sheet name="F2.2" sheetId="68" r:id="rId5"/>
    <sheet name="F2.3" sheetId="69" r:id="rId6"/>
    <sheet name="F3" sheetId="93" r:id="rId7"/>
    <sheet name="F3.1" sheetId="101" r:id="rId8"/>
    <sheet name="F3.2" sheetId="109" r:id="rId9"/>
    <sheet name="F4" sheetId="102" r:id="rId10"/>
    <sheet name="F4.1" sheetId="112" r:id="rId11"/>
    <sheet name="F5" sheetId="103" r:id="rId12"/>
    <sheet name="F6" sheetId="104" r:id="rId13"/>
    <sheet name="F7" sheetId="105" r:id="rId14"/>
    <sheet name="F8" sheetId="106" r:id="rId15"/>
    <sheet name="F9" sheetId="64" r:id="rId16"/>
    <sheet name="F10" sheetId="81" r:id="rId17"/>
    <sheet name="F11" sheetId="107" r:id="rId18"/>
    <sheet name="F11.1" sheetId="111" r:id="rId19"/>
    <sheet name="F12" sheetId="110" r:id="rId20"/>
    <sheet name="F13" sheetId="71" r:id="rId21"/>
    <sheet name="F15" sheetId="91" r:id="rId22"/>
  </sheets>
  <externalReferences>
    <externalReference r:id="rId23"/>
    <externalReference r:id="rId24"/>
    <externalReference r:id="rId25"/>
  </externalReferences>
  <definedNames>
    <definedName name="__123Graph_A" localSheetId="6" hidden="1">[1]CE!#REF!</definedName>
    <definedName name="__123Graph_A" localSheetId="7" hidden="1">[1]CE!#REF!</definedName>
    <definedName name="__123Graph_A" localSheetId="9" hidden="1">[1]CE!#REF!</definedName>
    <definedName name="__123Graph_A" localSheetId="11" hidden="1">[1]CE!#REF!</definedName>
    <definedName name="__123Graph_A" localSheetId="12" hidden="1">[1]CE!#REF!</definedName>
    <definedName name="__123Graph_A" localSheetId="13" hidden="1">[1]CE!#REF!</definedName>
    <definedName name="__123Graph_A" localSheetId="14" hidden="1">[1]CE!#REF!</definedName>
    <definedName name="__123Graph_A" hidden="1">[1]CE!#REF!</definedName>
    <definedName name="__123Graph_ASTNPLF" localSheetId="6" hidden="1">[1]CE!#REF!</definedName>
    <definedName name="__123Graph_ASTNPLF" localSheetId="7" hidden="1">[1]CE!#REF!</definedName>
    <definedName name="__123Graph_ASTNPLF" localSheetId="9" hidden="1">[1]CE!#REF!</definedName>
    <definedName name="__123Graph_ASTNPLF" localSheetId="11" hidden="1">[1]CE!#REF!</definedName>
    <definedName name="__123Graph_ASTNPLF" localSheetId="12" hidden="1">[1]CE!#REF!</definedName>
    <definedName name="__123Graph_ASTNPLF" localSheetId="13" hidden="1">[1]CE!#REF!</definedName>
    <definedName name="__123Graph_ASTNPLF" localSheetId="14" hidden="1">[1]CE!#REF!</definedName>
    <definedName name="__123Graph_ASTNPLF" hidden="1">[1]CE!#REF!</definedName>
    <definedName name="__123Graph_B" localSheetId="6" hidden="1">[1]CE!#REF!</definedName>
    <definedName name="__123Graph_B" localSheetId="7" hidden="1">[1]CE!#REF!</definedName>
    <definedName name="__123Graph_B" localSheetId="9" hidden="1">[1]CE!#REF!</definedName>
    <definedName name="__123Graph_B" localSheetId="11" hidden="1">[1]CE!#REF!</definedName>
    <definedName name="__123Graph_B" localSheetId="12" hidden="1">[1]CE!#REF!</definedName>
    <definedName name="__123Graph_B" localSheetId="13" hidden="1">[1]CE!#REF!</definedName>
    <definedName name="__123Graph_B" localSheetId="14" hidden="1">[1]CE!#REF!</definedName>
    <definedName name="__123Graph_B" hidden="1">[1]CE!#REF!</definedName>
    <definedName name="__123Graph_BSTNPLF" localSheetId="6" hidden="1">[1]CE!#REF!</definedName>
    <definedName name="__123Graph_BSTNPLF" localSheetId="7" hidden="1">[1]CE!#REF!</definedName>
    <definedName name="__123Graph_BSTNPLF" localSheetId="9" hidden="1">[1]CE!#REF!</definedName>
    <definedName name="__123Graph_BSTNPLF" localSheetId="11" hidden="1">[1]CE!#REF!</definedName>
    <definedName name="__123Graph_BSTNPLF" localSheetId="12" hidden="1">[1]CE!#REF!</definedName>
    <definedName name="__123Graph_BSTNPLF" localSheetId="13" hidden="1">[1]CE!#REF!</definedName>
    <definedName name="__123Graph_BSTNPLF" localSheetId="14" hidden="1">[1]CE!#REF!</definedName>
    <definedName name="__123Graph_BSTNPLF" hidden="1">[1]CE!#REF!</definedName>
    <definedName name="__123Graph_C" localSheetId="6" hidden="1">[1]CE!#REF!</definedName>
    <definedName name="__123Graph_C" localSheetId="7" hidden="1">[1]CE!#REF!</definedName>
    <definedName name="__123Graph_C" localSheetId="9" hidden="1">[1]CE!#REF!</definedName>
    <definedName name="__123Graph_C" localSheetId="11" hidden="1">[1]CE!#REF!</definedName>
    <definedName name="__123Graph_C" localSheetId="12" hidden="1">[1]CE!#REF!</definedName>
    <definedName name="__123Graph_C" localSheetId="13" hidden="1">[1]CE!#REF!</definedName>
    <definedName name="__123Graph_C" localSheetId="14" hidden="1">[1]CE!#REF!</definedName>
    <definedName name="__123Graph_C" hidden="1">[1]CE!#REF!</definedName>
    <definedName name="__123Graph_CSTNPLF" localSheetId="6" hidden="1">[1]CE!#REF!</definedName>
    <definedName name="__123Graph_CSTNPLF" localSheetId="7" hidden="1">[1]CE!#REF!</definedName>
    <definedName name="__123Graph_CSTNPLF" localSheetId="9" hidden="1">[1]CE!#REF!</definedName>
    <definedName name="__123Graph_CSTNPLF" localSheetId="11" hidden="1">[1]CE!#REF!</definedName>
    <definedName name="__123Graph_CSTNPLF" localSheetId="12" hidden="1">[1]CE!#REF!</definedName>
    <definedName name="__123Graph_CSTNPLF" localSheetId="13" hidden="1">[1]CE!#REF!</definedName>
    <definedName name="__123Graph_CSTNPLF" localSheetId="14" hidden="1">[1]CE!#REF!</definedName>
    <definedName name="__123Graph_CSTNPLF" hidden="1">[1]CE!#REF!</definedName>
    <definedName name="__123Graph_X" localSheetId="6" hidden="1">[1]CE!#REF!</definedName>
    <definedName name="__123Graph_X" localSheetId="7" hidden="1">[1]CE!#REF!</definedName>
    <definedName name="__123Graph_X" localSheetId="9" hidden="1">[1]CE!#REF!</definedName>
    <definedName name="__123Graph_X" localSheetId="11" hidden="1">[1]CE!#REF!</definedName>
    <definedName name="__123Graph_X" localSheetId="12" hidden="1">[1]CE!#REF!</definedName>
    <definedName name="__123Graph_X" localSheetId="13" hidden="1">[1]CE!#REF!</definedName>
    <definedName name="__123Graph_X" localSheetId="14" hidden="1">[1]CE!#REF!</definedName>
    <definedName name="__123Graph_X" hidden="1">[1]CE!#REF!</definedName>
    <definedName name="__123Graph_XSTNPLF" localSheetId="6" hidden="1">[1]CE!#REF!</definedName>
    <definedName name="__123Graph_XSTNPLF" localSheetId="7" hidden="1">[1]CE!#REF!</definedName>
    <definedName name="__123Graph_XSTNPLF" localSheetId="9" hidden="1">[1]CE!#REF!</definedName>
    <definedName name="__123Graph_XSTNPLF" localSheetId="11" hidden="1">[1]CE!#REF!</definedName>
    <definedName name="__123Graph_XSTNPLF" localSheetId="12" hidden="1">[1]CE!#REF!</definedName>
    <definedName name="__123Graph_XSTNPLF" localSheetId="13" hidden="1">[1]CE!#REF!</definedName>
    <definedName name="__123Graph_XSTNPLF" localSheetId="14" hidden="1">[1]CE!#REF!</definedName>
    <definedName name="__123Graph_XSTNPLF" hidden="1">[1]CE!#REF!</definedName>
    <definedName name="_Fill" localSheetId="6" hidden="1">#REF!</definedName>
    <definedName name="_Fill" localSheetId="7" hidden="1">#REF!</definedName>
    <definedName name="_Fill" localSheetId="9" hidden="1">#REF!</definedName>
    <definedName name="_Fill" localSheetId="11" hidden="1">#REF!</definedName>
    <definedName name="_Fill" localSheetId="12" hidden="1">#REF!</definedName>
    <definedName name="_Fill" localSheetId="13" hidden="1">#REF!</definedName>
    <definedName name="_Fill" localSheetId="14" hidden="1">#REF!</definedName>
    <definedName name="_Fill" hidden="1">#REF!</definedName>
    <definedName name="_Order1" hidden="1">255</definedName>
    <definedName name="new" localSheetId="6" hidden="1">[2]CE!#REF!</definedName>
    <definedName name="new" localSheetId="7" hidden="1">[2]CE!#REF!</definedName>
    <definedName name="new" localSheetId="9" hidden="1">[2]CE!#REF!</definedName>
    <definedName name="new" localSheetId="11" hidden="1">[2]CE!#REF!</definedName>
    <definedName name="new" localSheetId="12" hidden="1">[2]CE!#REF!</definedName>
    <definedName name="new" localSheetId="13" hidden="1">[2]CE!#REF!</definedName>
    <definedName name="new" localSheetId="14" hidden="1">[2]CE!#REF!</definedName>
    <definedName name="new" hidden="1">[2]CE!#REF!</definedName>
    <definedName name="_xlnm.Print_Area" localSheetId="0">Checklist!$A$1:$E$26</definedName>
    <definedName name="_xlnm.Print_Area" localSheetId="13">'F7'!$B$2:$J$23</definedName>
    <definedName name="xxxx" localSheetId="6" hidden="1">[3]CE!#REF!</definedName>
    <definedName name="xxxx" localSheetId="7" hidden="1">[3]CE!#REF!</definedName>
    <definedName name="xxxx" localSheetId="9" hidden="1">[3]CE!#REF!</definedName>
    <definedName name="xxxx" localSheetId="11" hidden="1">[3]CE!#REF!</definedName>
    <definedName name="xxxx" localSheetId="12" hidden="1">[3]CE!#REF!</definedName>
    <definedName name="xxxx" localSheetId="13" hidden="1">[3]CE!#REF!</definedName>
    <definedName name="xxxx" localSheetId="14" hidden="1">[3]CE!#REF!</definedName>
    <definedName name="xxxx" hidden="1">[3]CE!#REF!</definedName>
  </definedNames>
  <calcPr calcId="144525" iterate="1" iterateCount="10000" iterateDelta="1.0000000000000001E-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5" i="101" l="1"/>
  <c r="H17" i="101"/>
  <c r="H19" i="101" s="1"/>
  <c r="H15" i="101"/>
  <c r="H9" i="101"/>
  <c r="H8" i="101"/>
  <c r="H12" i="101" s="1"/>
  <c r="Q30" i="91" l="1"/>
  <c r="Q14" i="91"/>
  <c r="Q15" i="91"/>
  <c r="Q18" i="91"/>
  <c r="Q20" i="91"/>
  <c r="Q21" i="91"/>
  <c r="Q22" i="91"/>
  <c r="Q23" i="91"/>
  <c r="Q24" i="91"/>
  <c r="Q13" i="91"/>
  <c r="E38" i="68"/>
  <c r="F38" i="68"/>
  <c r="D38" i="68"/>
  <c r="E36" i="67"/>
  <c r="F36" i="67"/>
  <c r="D36" i="67"/>
  <c r="E18" i="69"/>
  <c r="F18" i="69"/>
  <c r="D18" i="69"/>
  <c r="E47" i="103" l="1"/>
  <c r="F47" i="103"/>
  <c r="E48" i="103"/>
  <c r="F48" i="103"/>
  <c r="E41" i="103"/>
  <c r="F41" i="103"/>
  <c r="E42" i="103"/>
  <c r="F42" i="103"/>
  <c r="E43" i="103"/>
  <c r="F43" i="103"/>
  <c r="D48" i="103"/>
  <c r="D47" i="103"/>
  <c r="D49" i="103" s="1"/>
  <c r="D43" i="103"/>
  <c r="D42" i="103"/>
  <c r="D41" i="103"/>
  <c r="P33" i="71" l="1"/>
  <c r="P24" i="71"/>
  <c r="P14" i="71"/>
  <c r="G33" i="102"/>
  <c r="H33" i="102"/>
  <c r="K33" i="102"/>
  <c r="J11" i="58" s="1"/>
  <c r="L33" i="102"/>
  <c r="F33" i="102"/>
  <c r="G19" i="102"/>
  <c r="H19" i="102"/>
  <c r="J19" i="102"/>
  <c r="K19" i="102"/>
  <c r="L19" i="102"/>
  <c r="F19" i="102"/>
  <c r="G47" i="102"/>
  <c r="H47" i="102"/>
  <c r="K47" i="102"/>
  <c r="L47" i="102"/>
  <c r="I29" i="81"/>
  <c r="I28" i="81" s="1"/>
  <c r="I13" i="66" l="1"/>
  <c r="L19" i="58"/>
  <c r="K19" i="58" s="1"/>
  <c r="J19" i="58"/>
  <c r="I19" i="58" s="1"/>
  <c r="F15" i="110"/>
  <c r="F13" i="110"/>
  <c r="F14" i="110"/>
  <c r="F34" i="81"/>
  <c r="F29" i="81"/>
  <c r="F28" i="81" s="1"/>
  <c r="G28" i="81" s="1"/>
  <c r="F30" i="81"/>
  <c r="G30" i="81" s="1"/>
  <c r="B41" i="81"/>
  <c r="B42" i="81" s="1"/>
  <c r="B37" i="81"/>
  <c r="B38" i="81" s="1"/>
  <c r="B33" i="81"/>
  <c r="B34" i="81" s="1"/>
  <c r="K30" i="81"/>
  <c r="I30" i="81"/>
  <c r="B27" i="81"/>
  <c r="B28" i="81" s="1"/>
  <c r="B29" i="81" s="1"/>
  <c r="B30" i="81" s="1"/>
  <c r="G24" i="81"/>
  <c r="G23" i="81"/>
  <c r="B23" i="81"/>
  <c r="B24" i="81" s="1"/>
  <c r="G20" i="81"/>
  <c r="B19" i="81"/>
  <c r="B20" i="81" s="1"/>
  <c r="B15" i="81"/>
  <c r="B16" i="81" s="1"/>
  <c r="N31" i="71"/>
  <c r="M31" i="71"/>
  <c r="L31" i="71"/>
  <c r="K31" i="71"/>
  <c r="J31" i="71"/>
  <c r="I31" i="71"/>
  <c r="H31" i="71"/>
  <c r="G31" i="71"/>
  <c r="F31" i="71"/>
  <c r="E31" i="71"/>
  <c r="D31" i="71"/>
  <c r="C31" i="71"/>
  <c r="N29" i="71"/>
  <c r="N33" i="71" s="1"/>
  <c r="M29" i="71"/>
  <c r="M33" i="71" s="1"/>
  <c r="L29" i="71"/>
  <c r="L33" i="71" s="1"/>
  <c r="K29" i="71"/>
  <c r="K33" i="71" s="1"/>
  <c r="J29" i="71"/>
  <c r="J33" i="71" s="1"/>
  <c r="I29" i="71"/>
  <c r="I33" i="71" s="1"/>
  <c r="H29" i="71"/>
  <c r="H33" i="71" s="1"/>
  <c r="G29" i="71"/>
  <c r="G33" i="71" s="1"/>
  <c r="F29" i="71"/>
  <c r="F33" i="71" s="1"/>
  <c r="E29" i="71"/>
  <c r="E33" i="71" s="1"/>
  <c r="D29" i="71"/>
  <c r="D33" i="71" s="1"/>
  <c r="C29" i="71"/>
  <c r="C33" i="71" s="1"/>
  <c r="N22" i="71"/>
  <c r="M22" i="71"/>
  <c r="L22" i="71"/>
  <c r="K22" i="71"/>
  <c r="J22" i="71"/>
  <c r="I22" i="71"/>
  <c r="H22" i="71"/>
  <c r="G22" i="71"/>
  <c r="F22" i="71"/>
  <c r="E22" i="71"/>
  <c r="D22" i="71"/>
  <c r="C22" i="71"/>
  <c r="N20" i="71"/>
  <c r="N24" i="71" s="1"/>
  <c r="M20" i="71"/>
  <c r="M24" i="71" s="1"/>
  <c r="L20" i="71"/>
  <c r="L24" i="71" s="1"/>
  <c r="K20" i="71"/>
  <c r="K24" i="71" s="1"/>
  <c r="J20" i="71"/>
  <c r="J24" i="71" s="1"/>
  <c r="I20" i="71"/>
  <c r="I24" i="71" s="1"/>
  <c r="H20" i="71"/>
  <c r="H24" i="71" s="1"/>
  <c r="G20" i="71"/>
  <c r="G24" i="71" s="1"/>
  <c r="F20" i="71"/>
  <c r="F24" i="71" s="1"/>
  <c r="E20" i="71"/>
  <c r="E24" i="71" s="1"/>
  <c r="D20" i="71"/>
  <c r="D24" i="71" s="1"/>
  <c r="C20" i="71"/>
  <c r="C24" i="71" s="1"/>
  <c r="N12" i="71"/>
  <c r="M12" i="71"/>
  <c r="L12" i="71"/>
  <c r="K12" i="71"/>
  <c r="J12" i="71"/>
  <c r="I12" i="71"/>
  <c r="H12" i="71"/>
  <c r="G12" i="71"/>
  <c r="F12" i="71"/>
  <c r="E12" i="71"/>
  <c r="D12" i="71"/>
  <c r="C12" i="71"/>
  <c r="N10" i="71"/>
  <c r="N14" i="71" s="1"/>
  <c r="M10" i="71"/>
  <c r="M14" i="71" s="1"/>
  <c r="L10" i="71"/>
  <c r="L14" i="71" s="1"/>
  <c r="K10" i="71"/>
  <c r="K14" i="71" s="1"/>
  <c r="J10" i="71"/>
  <c r="J14" i="71" s="1"/>
  <c r="I10" i="71"/>
  <c r="I14" i="71" s="1"/>
  <c r="H10" i="71"/>
  <c r="H14" i="71" s="1"/>
  <c r="G10" i="71"/>
  <c r="G14" i="71" s="1"/>
  <c r="F10" i="71"/>
  <c r="F14" i="71" s="1"/>
  <c r="E10" i="71"/>
  <c r="E14" i="71" s="1"/>
  <c r="D10" i="71"/>
  <c r="D14" i="71" s="1"/>
  <c r="C10" i="71"/>
  <c r="O12" i="71" l="1"/>
  <c r="O22" i="71"/>
  <c r="O31" i="71"/>
  <c r="G29" i="81"/>
  <c r="O10" i="71"/>
  <c r="O14" i="71" s="1"/>
  <c r="C14" i="71"/>
  <c r="O20" i="71"/>
  <c r="O29" i="71"/>
  <c r="AN21" i="111"/>
  <c r="AN32" i="111" s="1"/>
  <c r="AM21" i="111"/>
  <c r="AM32" i="111" s="1"/>
  <c r="AL21" i="111"/>
  <c r="AL32" i="111" s="1"/>
  <c r="AK21" i="111"/>
  <c r="AK32" i="111" s="1"/>
  <c r="AJ21" i="111"/>
  <c r="AJ32" i="111" s="1"/>
  <c r="AI21" i="111"/>
  <c r="AI32" i="111" s="1"/>
  <c r="AH21" i="111"/>
  <c r="AH32" i="111" s="1"/>
  <c r="AG21" i="111"/>
  <c r="AG32" i="111" s="1"/>
  <c r="AF21" i="111"/>
  <c r="AF32" i="111" s="1"/>
  <c r="AE21" i="111"/>
  <c r="AE32" i="111" s="1"/>
  <c r="AD21" i="111"/>
  <c r="AD32" i="111" s="1"/>
  <c r="AC21" i="111"/>
  <c r="AC32" i="111" s="1"/>
  <c r="AB21" i="111"/>
  <c r="AB32" i="111" s="1"/>
  <c r="AA21" i="111"/>
  <c r="AA32" i="111" s="1"/>
  <c r="Z21" i="111"/>
  <c r="Z32" i="111" s="1"/>
  <c r="Y21" i="111"/>
  <c r="Y32" i="111" s="1"/>
  <c r="X21" i="111"/>
  <c r="X32" i="111" s="1"/>
  <c r="W21" i="111"/>
  <c r="W32" i="111" s="1"/>
  <c r="V21" i="111"/>
  <c r="V32" i="111" s="1"/>
  <c r="U21" i="111"/>
  <c r="U32" i="111" s="1"/>
  <c r="T21" i="111"/>
  <c r="T32" i="111" s="1"/>
  <c r="S21" i="111"/>
  <c r="S32" i="111" s="1"/>
  <c r="R21" i="111"/>
  <c r="R32" i="111" s="1"/>
  <c r="Q21" i="111"/>
  <c r="Q32" i="111" s="1"/>
  <c r="P21" i="111"/>
  <c r="P32" i="111" s="1"/>
  <c r="O21" i="111"/>
  <c r="O32" i="111" s="1"/>
  <c r="N21" i="111"/>
  <c r="N32" i="111" s="1"/>
  <c r="M21" i="111"/>
  <c r="M32" i="111" s="1"/>
  <c r="L21" i="111"/>
  <c r="L32" i="111" s="1"/>
  <c r="K21" i="111"/>
  <c r="K32" i="111" s="1"/>
  <c r="J21" i="111"/>
  <c r="J32" i="111" s="1"/>
  <c r="I21" i="111"/>
  <c r="I32" i="111" s="1"/>
  <c r="H21" i="111"/>
  <c r="H32" i="111" s="1"/>
  <c r="G21" i="111"/>
  <c r="G32" i="111" s="1"/>
  <c r="F21" i="111"/>
  <c r="F32" i="111" s="1"/>
  <c r="E21" i="111"/>
  <c r="E32" i="111" s="1"/>
  <c r="AN14" i="111"/>
  <c r="AN16" i="111" s="1"/>
  <c r="AM14" i="111"/>
  <c r="AM16" i="111" s="1"/>
  <c r="AL14" i="111"/>
  <c r="AL16" i="111" s="1"/>
  <c r="AK14" i="111"/>
  <c r="AK16" i="111" s="1"/>
  <c r="AJ14" i="111"/>
  <c r="AJ16" i="111" s="1"/>
  <c r="AI14" i="111"/>
  <c r="AI16" i="111" s="1"/>
  <c r="AH14" i="111"/>
  <c r="AH16" i="111" s="1"/>
  <c r="AG14" i="111"/>
  <c r="AG16" i="111" s="1"/>
  <c r="AF14" i="111"/>
  <c r="AF16" i="111" s="1"/>
  <c r="AE14" i="111"/>
  <c r="AE16" i="111" s="1"/>
  <c r="AD14" i="111"/>
  <c r="AD16" i="111" s="1"/>
  <c r="AC14" i="111"/>
  <c r="AC16" i="111" s="1"/>
  <c r="AB14" i="111"/>
  <c r="AB16" i="111" s="1"/>
  <c r="AA14" i="111"/>
  <c r="AA16" i="111" s="1"/>
  <c r="Z14" i="111"/>
  <c r="Z16" i="111" s="1"/>
  <c r="Y14" i="111"/>
  <c r="Y16" i="111" s="1"/>
  <c r="X14" i="111"/>
  <c r="X16" i="111" s="1"/>
  <c r="W14" i="111"/>
  <c r="W16" i="111" s="1"/>
  <c r="V14" i="111"/>
  <c r="V16" i="111" s="1"/>
  <c r="U14" i="111"/>
  <c r="U16" i="111" s="1"/>
  <c r="T14" i="111"/>
  <c r="T16" i="111" s="1"/>
  <c r="S14" i="111"/>
  <c r="S16" i="111" s="1"/>
  <c r="R14" i="111"/>
  <c r="R16" i="111" s="1"/>
  <c r="Q14" i="111"/>
  <c r="Q16" i="111" s="1"/>
  <c r="P14" i="111"/>
  <c r="P16" i="111" s="1"/>
  <c r="O14" i="111"/>
  <c r="O16" i="111" s="1"/>
  <c r="N14" i="111"/>
  <c r="N16" i="111" s="1"/>
  <c r="M14" i="111"/>
  <c r="M16" i="111" s="1"/>
  <c r="L14" i="111"/>
  <c r="L16" i="111" s="1"/>
  <c r="K14" i="111"/>
  <c r="K16" i="111" s="1"/>
  <c r="J14" i="111"/>
  <c r="J16" i="111" s="1"/>
  <c r="I14" i="111"/>
  <c r="I16" i="111" s="1"/>
  <c r="H14" i="111"/>
  <c r="H16" i="111" s="1"/>
  <c r="G14" i="111"/>
  <c r="G16" i="111" s="1"/>
  <c r="F14" i="111"/>
  <c r="F16" i="111" s="1"/>
  <c r="E14" i="111"/>
  <c r="E16" i="111" s="1"/>
  <c r="B51" i="107"/>
  <c r="B52" i="107" s="1"/>
  <c r="B53" i="107" s="1"/>
  <c r="V31" i="107"/>
  <c r="U31" i="107"/>
  <c r="T31" i="107"/>
  <c r="S31" i="107"/>
  <c r="R31" i="107"/>
  <c r="Q31" i="107"/>
  <c r="P31" i="107"/>
  <c r="O31" i="107"/>
  <c r="N31" i="107"/>
  <c r="M31" i="107"/>
  <c r="L31" i="107"/>
  <c r="K31" i="107"/>
  <c r="J31" i="107"/>
  <c r="I31" i="107"/>
  <c r="H31" i="107"/>
  <c r="G31" i="107"/>
  <c r="F31" i="107"/>
  <c r="E31" i="107"/>
  <c r="V21" i="107"/>
  <c r="U21" i="107"/>
  <c r="U32" i="107" s="1"/>
  <c r="T21" i="107"/>
  <c r="T32" i="107" s="1"/>
  <c r="S21" i="107"/>
  <c r="S32" i="107" s="1"/>
  <c r="R21" i="107"/>
  <c r="Q21" i="107"/>
  <c r="Q32" i="107" s="1"/>
  <c r="P21" i="107"/>
  <c r="P32" i="107" s="1"/>
  <c r="O21" i="107"/>
  <c r="O32" i="107" s="1"/>
  <c r="N21" i="107"/>
  <c r="M21" i="107"/>
  <c r="M32" i="107" s="1"/>
  <c r="L21" i="107"/>
  <c r="L32" i="107" s="1"/>
  <c r="K21" i="107"/>
  <c r="K32" i="107" s="1"/>
  <c r="J21" i="107"/>
  <c r="I21" i="107"/>
  <c r="I32" i="107" s="1"/>
  <c r="H21" i="107"/>
  <c r="H32" i="107" s="1"/>
  <c r="G21" i="107"/>
  <c r="G32" i="107" s="1"/>
  <c r="F21" i="107"/>
  <c r="E21" i="107"/>
  <c r="E32" i="107" s="1"/>
  <c r="V14" i="107"/>
  <c r="V16" i="107" s="1"/>
  <c r="U14" i="107"/>
  <c r="U16" i="107" s="1"/>
  <c r="T14" i="107"/>
  <c r="T16" i="107" s="1"/>
  <c r="S14" i="107"/>
  <c r="S16" i="107" s="1"/>
  <c r="R14" i="107"/>
  <c r="R16" i="107" s="1"/>
  <c r="Q14" i="107"/>
  <c r="Q16" i="107" s="1"/>
  <c r="P14" i="107"/>
  <c r="P16" i="107" s="1"/>
  <c r="O14" i="107"/>
  <c r="O16" i="107" s="1"/>
  <c r="N14" i="107"/>
  <c r="N16" i="107" s="1"/>
  <c r="M14" i="107"/>
  <c r="M16" i="107" s="1"/>
  <c r="L14" i="107"/>
  <c r="L16" i="107" s="1"/>
  <c r="K14" i="107"/>
  <c r="K16" i="107" s="1"/>
  <c r="J14" i="107"/>
  <c r="J16" i="107" s="1"/>
  <c r="I14" i="107"/>
  <c r="I16" i="107" s="1"/>
  <c r="H14" i="107"/>
  <c r="H16" i="107" s="1"/>
  <c r="G14" i="107"/>
  <c r="G16" i="107" s="1"/>
  <c r="F14" i="107"/>
  <c r="F16" i="107" s="1"/>
  <c r="E14" i="107"/>
  <c r="E16" i="107" s="1"/>
  <c r="B10" i="107"/>
  <c r="B12" i="107" s="1"/>
  <c r="B13" i="107" s="1"/>
  <c r="B14" i="107" s="1"/>
  <c r="B15" i="107" s="1"/>
  <c r="B16" i="107" s="1"/>
  <c r="B18" i="107" s="1"/>
  <c r="B19" i="107" s="1"/>
  <c r="B20" i="107" s="1"/>
  <c r="B21" i="107" s="1"/>
  <c r="B23" i="107" s="1"/>
  <c r="B28" i="107" s="1"/>
  <c r="B29" i="107" s="1"/>
  <c r="B30" i="107" s="1"/>
  <c r="B31" i="107" s="1"/>
  <c r="B32" i="107" s="1"/>
  <c r="B34" i="107" s="1"/>
  <c r="B35" i="107" s="1"/>
  <c r="B36" i="107" s="1"/>
  <c r="B38" i="107" s="1"/>
  <c r="B39" i="107" s="1"/>
  <c r="B40" i="107" s="1"/>
  <c r="B41" i="107" s="1"/>
  <c r="B42" i="107" s="1"/>
  <c r="B43" i="107" s="1"/>
  <c r="B44" i="107" s="1"/>
  <c r="B45" i="107" s="1"/>
  <c r="B46" i="107" s="1"/>
  <c r="B47" i="107" s="1"/>
  <c r="I13" i="110"/>
  <c r="F32" i="107" l="1"/>
  <c r="J32" i="107"/>
  <c r="N32" i="107"/>
  <c r="R32" i="107"/>
  <c r="V32" i="107"/>
  <c r="O24" i="71"/>
  <c r="O33" i="71"/>
  <c r="E34" i="111"/>
  <c r="F34" i="111"/>
  <c r="G34" i="111"/>
  <c r="H34" i="111"/>
  <c r="I34" i="111"/>
  <c r="J34" i="111"/>
  <c r="K34" i="111"/>
  <c r="L34" i="111"/>
  <c r="M34" i="111"/>
  <c r="N34" i="111"/>
  <c r="O34" i="111"/>
  <c r="P34" i="111"/>
  <c r="Q34" i="111"/>
  <c r="R34" i="111"/>
  <c r="S34" i="111"/>
  <c r="T34" i="111"/>
  <c r="U34" i="111"/>
  <c r="V34" i="111"/>
  <c r="W34" i="111"/>
  <c r="X34" i="111"/>
  <c r="Y34" i="111"/>
  <c r="Z34" i="111"/>
  <c r="AA34" i="111"/>
  <c r="AB34" i="111"/>
  <c r="AC34" i="111"/>
  <c r="AD34" i="111"/>
  <c r="AE34" i="111"/>
  <c r="AF34" i="111"/>
  <c r="AG34" i="111"/>
  <c r="AH34" i="111"/>
  <c r="AI34" i="111"/>
  <c r="AJ34" i="111"/>
  <c r="AK34" i="111"/>
  <c r="AL34" i="111"/>
  <c r="AM34" i="111"/>
  <c r="AN34" i="111"/>
  <c r="E34" i="107"/>
  <c r="F34" i="107"/>
  <c r="G34" i="107"/>
  <c r="H34" i="107"/>
  <c r="I34" i="107"/>
  <c r="J34" i="107"/>
  <c r="K34" i="107"/>
  <c r="L34" i="107"/>
  <c r="M34" i="107"/>
  <c r="N34" i="107"/>
  <c r="O34" i="107"/>
  <c r="P34" i="107"/>
  <c r="Q34" i="107"/>
  <c r="R34" i="107"/>
  <c r="S34" i="107"/>
  <c r="T34" i="107"/>
  <c r="U34" i="107"/>
  <c r="V34" i="107"/>
  <c r="I15" i="110"/>
  <c r="K13" i="110"/>
  <c r="K15" i="110"/>
  <c r="J29" i="106"/>
  <c r="H29" i="106"/>
  <c r="F29" i="106"/>
  <c r="E29" i="106"/>
  <c r="B10" i="106"/>
  <c r="B11" i="106" s="1"/>
  <c r="B12" i="106" s="1"/>
  <c r="B13" i="106" s="1"/>
  <c r="B14" i="106" s="1"/>
  <c r="B15" i="106" s="1"/>
  <c r="B16" i="106" s="1"/>
  <c r="B17" i="106" s="1"/>
  <c r="B18" i="106" s="1"/>
  <c r="B19" i="106" s="1"/>
  <c r="B20" i="106" s="1"/>
  <c r="B21" i="106" s="1"/>
  <c r="B22" i="106" s="1"/>
  <c r="B23" i="106" s="1"/>
  <c r="B24" i="106" s="1"/>
  <c r="B25" i="106" s="1"/>
  <c r="B26" i="106" s="1"/>
  <c r="B27" i="106" s="1"/>
  <c r="L18" i="112"/>
  <c r="K18" i="112"/>
  <c r="J18" i="112"/>
  <c r="H18" i="112"/>
  <c r="G18" i="112"/>
  <c r="F18" i="112"/>
  <c r="N17" i="112"/>
  <c r="M17" i="112"/>
  <c r="I17" i="112"/>
  <c r="N16" i="112"/>
  <c r="M16" i="112"/>
  <c r="I16" i="112"/>
  <c r="O16" i="112" s="1"/>
  <c r="N15" i="112"/>
  <c r="M15" i="112"/>
  <c r="I15" i="112"/>
  <c r="O15" i="112" s="1"/>
  <c r="N14" i="112"/>
  <c r="M14" i="112"/>
  <c r="I14" i="112"/>
  <c r="N13" i="112"/>
  <c r="M13" i="112"/>
  <c r="I13" i="112"/>
  <c r="N12" i="112"/>
  <c r="M12" i="112"/>
  <c r="I12" i="112"/>
  <c r="O12" i="112" s="1"/>
  <c r="N11" i="112"/>
  <c r="M11" i="112"/>
  <c r="I11" i="112"/>
  <c r="O11" i="112" s="1"/>
  <c r="N10" i="112"/>
  <c r="M10" i="112"/>
  <c r="I10" i="112"/>
  <c r="N9" i="112"/>
  <c r="M9" i="112"/>
  <c r="M18" i="112" s="1"/>
  <c r="I9" i="112"/>
  <c r="O13" i="112" l="1"/>
  <c r="O17" i="112"/>
  <c r="N18" i="112"/>
  <c r="O10" i="112"/>
  <c r="O14" i="112"/>
  <c r="I18" i="112"/>
  <c r="O9" i="112"/>
  <c r="O18" i="112" l="1"/>
  <c r="I19" i="103"/>
  <c r="G19" i="103"/>
  <c r="L15" i="58"/>
  <c r="I16" i="110"/>
  <c r="J15" i="110"/>
  <c r="J14" i="110"/>
  <c r="J13" i="110"/>
  <c r="H14" i="110"/>
  <c r="H15" i="110"/>
  <c r="G14" i="110" l="1"/>
  <c r="F11" i="110"/>
  <c r="F10" i="110"/>
  <c r="G10" i="110" l="1"/>
  <c r="F9" i="110" l="1"/>
  <c r="G19" i="58"/>
  <c r="F19" i="58" s="1"/>
  <c r="H11" i="58"/>
  <c r="G11" i="58" s="1"/>
  <c r="E13" i="104"/>
  <c r="F18" i="104"/>
  <c r="F12" i="93"/>
  <c r="F11" i="93"/>
  <c r="F19" i="110" l="1"/>
  <c r="F17" i="110"/>
  <c r="F18" i="110"/>
  <c r="L11" i="58"/>
  <c r="D13" i="93" l="1"/>
  <c r="F10" i="58" l="1"/>
  <c r="I19" i="110" l="1"/>
  <c r="I18" i="110"/>
  <c r="H11" i="104" s="1"/>
  <c r="I17" i="110"/>
  <c r="E9" i="104"/>
  <c r="K13" i="66"/>
  <c r="H10" i="104" l="1"/>
  <c r="H16" i="104" s="1"/>
  <c r="H9" i="104"/>
  <c r="F10" i="105"/>
  <c r="F11" i="105" s="1"/>
  <c r="G10" i="105"/>
  <c r="G11" i="105" s="1"/>
  <c r="H10" i="105"/>
  <c r="H11" i="105" s="1"/>
  <c r="I10" i="105"/>
  <c r="I11" i="105" s="1"/>
  <c r="J10" i="105"/>
  <c r="J11" i="105" s="1"/>
  <c r="E10" i="105"/>
  <c r="E11" i="105" s="1"/>
  <c r="E9" i="105" l="1"/>
  <c r="D20" i="69"/>
  <c r="F14" i="103"/>
  <c r="E14" i="103"/>
  <c r="F13" i="103"/>
  <c r="G13" i="103"/>
  <c r="H13" i="103"/>
  <c r="I13" i="103"/>
  <c r="J13" i="103"/>
  <c r="E13" i="103"/>
  <c r="E10" i="103"/>
  <c r="E9" i="103"/>
  <c r="H19" i="58" l="1"/>
  <c r="I13" i="93"/>
  <c r="K12" i="58"/>
  <c r="K14" i="58" l="1"/>
  <c r="K10" i="58"/>
  <c r="K13" i="58"/>
  <c r="G15" i="58" l="1"/>
  <c r="H15" i="58" s="1"/>
  <c r="K15" i="58"/>
  <c r="D25" i="106"/>
  <c r="K16" i="58" l="1"/>
  <c r="I17" i="105"/>
  <c r="M11" i="102" l="1"/>
  <c r="J25" i="102" s="1"/>
  <c r="M12" i="102"/>
  <c r="J26" i="102" s="1"/>
  <c r="M15" i="102"/>
  <c r="M16" i="102"/>
  <c r="M17" i="102"/>
  <c r="M18" i="102"/>
  <c r="M10" i="102"/>
  <c r="M14" i="102"/>
  <c r="J24" i="102" l="1"/>
  <c r="M26" i="102"/>
  <c r="J40" i="102" s="1"/>
  <c r="M40" i="102" s="1"/>
  <c r="J30" i="102"/>
  <c r="J32" i="102"/>
  <c r="M32" i="102" s="1"/>
  <c r="M24" i="102"/>
  <c r="J28" i="102"/>
  <c r="J31" i="102"/>
  <c r="M25" i="102"/>
  <c r="J39" i="102" s="1"/>
  <c r="J29" i="102"/>
  <c r="N13" i="102"/>
  <c r="I13" i="102"/>
  <c r="N18" i="102"/>
  <c r="I18" i="102"/>
  <c r="N17" i="102"/>
  <c r="I17" i="102"/>
  <c r="N31" i="102" s="1"/>
  <c r="N16" i="102"/>
  <c r="I16" i="102"/>
  <c r="N15" i="102"/>
  <c r="I15" i="102"/>
  <c r="N14" i="102"/>
  <c r="N12" i="102"/>
  <c r="I12" i="102"/>
  <c r="N11" i="102"/>
  <c r="I11" i="102"/>
  <c r="N10" i="102"/>
  <c r="I10" i="102"/>
  <c r="N19" i="102" l="1"/>
  <c r="N30" i="102"/>
  <c r="N32" i="102"/>
  <c r="N29" i="102"/>
  <c r="M39" i="102"/>
  <c r="M29" i="102"/>
  <c r="J43" i="102" s="1"/>
  <c r="M43" i="102" s="1"/>
  <c r="M31" i="102"/>
  <c r="J45" i="102" s="1"/>
  <c r="M45" i="102" s="1"/>
  <c r="M28" i="102"/>
  <c r="J42" i="102" s="1"/>
  <c r="M42" i="102" s="1"/>
  <c r="J38" i="102"/>
  <c r="M30" i="102"/>
  <c r="J44" i="102" s="1"/>
  <c r="M44" i="102" s="1"/>
  <c r="O11" i="102"/>
  <c r="N25" i="102"/>
  <c r="O12" i="102"/>
  <c r="N26" i="102"/>
  <c r="O15" i="102"/>
  <c r="O16" i="102"/>
  <c r="O17" i="102"/>
  <c r="O18" i="102"/>
  <c r="J46" i="102"/>
  <c r="M46" i="102" s="1"/>
  <c r="O10" i="102"/>
  <c r="M13" i="102"/>
  <c r="M19" i="102" s="1"/>
  <c r="M38" i="102" l="1"/>
  <c r="J27" i="102"/>
  <c r="J33" i="102" s="1"/>
  <c r="I31" i="102"/>
  <c r="O31" i="102" s="1"/>
  <c r="I30" i="102"/>
  <c r="O30" i="102" s="1"/>
  <c r="I29" i="102"/>
  <c r="O29" i="102" s="1"/>
  <c r="I27" i="102"/>
  <c r="I26" i="102"/>
  <c r="I25" i="102"/>
  <c r="O25" i="102" s="1"/>
  <c r="N24" i="102"/>
  <c r="I24" i="102"/>
  <c r="O13" i="102"/>
  <c r="H10" i="103" l="1"/>
  <c r="O26" i="102"/>
  <c r="F38" i="102"/>
  <c r="I38" i="102" s="1"/>
  <c r="M27" i="102"/>
  <c r="N27" i="102"/>
  <c r="F39" i="102"/>
  <c r="F40" i="102"/>
  <c r="N40" i="102" s="1"/>
  <c r="F41" i="102"/>
  <c r="F43" i="102"/>
  <c r="N43" i="102" s="1"/>
  <c r="F44" i="102"/>
  <c r="N44" i="102" s="1"/>
  <c r="F45" i="102"/>
  <c r="N45" i="102" s="1"/>
  <c r="O24" i="102"/>
  <c r="I32" i="102"/>
  <c r="M33" i="102" l="1"/>
  <c r="N38" i="102"/>
  <c r="N39" i="102"/>
  <c r="F46" i="102"/>
  <c r="N46" i="102" s="1"/>
  <c r="O32" i="102"/>
  <c r="O38" i="102"/>
  <c r="J41" i="102"/>
  <c r="O27" i="102"/>
  <c r="I45" i="102"/>
  <c r="O45" i="102" s="1"/>
  <c r="I44" i="102"/>
  <c r="O44" i="102" s="1"/>
  <c r="I43" i="102"/>
  <c r="O43" i="102" s="1"/>
  <c r="I41" i="102"/>
  <c r="I40" i="102"/>
  <c r="O40" i="102" s="1"/>
  <c r="I39" i="102"/>
  <c r="J47" i="102" l="1"/>
  <c r="I46" i="102"/>
  <c r="O46" i="102" s="1"/>
  <c r="O39" i="102"/>
  <c r="M41" i="102"/>
  <c r="N41" i="102"/>
  <c r="M47" i="102" l="1"/>
  <c r="O41" i="102"/>
  <c r="E18" i="110"/>
  <c r="E12" i="110"/>
  <c r="K11" i="110"/>
  <c r="K12" i="110"/>
  <c r="H11" i="110"/>
  <c r="H12" i="110"/>
  <c r="J12" i="110" s="1"/>
  <c r="H13" i="110"/>
  <c r="H16" i="110" l="1"/>
  <c r="K16" i="110"/>
  <c r="E19" i="110"/>
  <c r="E17" i="110"/>
  <c r="H18" i="110"/>
  <c r="H19" i="110"/>
  <c r="H17" i="110"/>
  <c r="K19" i="110"/>
  <c r="K18" i="110"/>
  <c r="J11" i="104" s="1"/>
  <c r="K17" i="110"/>
  <c r="J11" i="110"/>
  <c r="E16" i="110"/>
  <c r="F26" i="67"/>
  <c r="F34" i="67" s="1"/>
  <c r="E26" i="67"/>
  <c r="E34" i="67" s="1"/>
  <c r="D26" i="67"/>
  <c r="D34" i="67" s="1"/>
  <c r="I11" i="66" l="1"/>
  <c r="K11" i="66"/>
  <c r="J18" i="110"/>
  <c r="J16" i="110"/>
  <c r="J9" i="104"/>
  <c r="J10" i="104"/>
  <c r="J16" i="104" s="1"/>
  <c r="J19" i="110"/>
  <c r="J17" i="110"/>
  <c r="F9" i="104"/>
  <c r="F16" i="110"/>
  <c r="G12" i="110"/>
  <c r="G11" i="110"/>
  <c r="G9" i="110"/>
  <c r="G13" i="110"/>
  <c r="G15" i="110"/>
  <c r="G11" i="103"/>
  <c r="E15" i="109"/>
  <c r="G18" i="110" l="1"/>
  <c r="E11" i="104" s="1"/>
  <c r="G19" i="110"/>
  <c r="G17" i="110"/>
  <c r="E10" i="104" s="1"/>
  <c r="G16" i="110"/>
  <c r="K18" i="58"/>
  <c r="K20" i="58" s="1"/>
  <c r="K21" i="58" s="1"/>
  <c r="D11" i="105"/>
  <c r="F10" i="104" l="1"/>
  <c r="E16" i="104"/>
  <c r="F16" i="104" s="1"/>
  <c r="F11" i="104"/>
  <c r="I17" i="104"/>
  <c r="D15" i="109"/>
  <c r="D13" i="105"/>
  <c r="D11" i="103"/>
  <c r="D19" i="103" l="1"/>
  <c r="F11" i="66" l="1"/>
  <c r="G11" i="66" s="1"/>
  <c r="F36" i="68"/>
  <c r="E36" i="68"/>
  <c r="D36" i="68"/>
  <c r="F13" i="66"/>
  <c r="G13" i="66" s="1"/>
  <c r="G13" i="93"/>
  <c r="F15" i="109"/>
  <c r="F34" i="103"/>
  <c r="E34" i="103"/>
  <c r="D34" i="103"/>
  <c r="D39" i="103" s="1"/>
  <c r="D17" i="105"/>
  <c r="J17" i="105"/>
  <c r="H17" i="105"/>
  <c r="G17" i="105"/>
  <c r="F17" i="105"/>
  <c r="E17" i="105"/>
  <c r="G13" i="105"/>
  <c r="I12" i="66" l="1"/>
  <c r="I14" i="66" s="1"/>
  <c r="K12" i="66"/>
  <c r="F12" i="66"/>
  <c r="G12" i="66" s="1"/>
  <c r="G14" i="66"/>
  <c r="F12" i="104" s="1"/>
  <c r="F14" i="66"/>
  <c r="E12" i="104" s="1"/>
  <c r="F10" i="103"/>
  <c r="F9" i="105"/>
  <c r="F19" i="105" s="1"/>
  <c r="K14" i="66"/>
  <c r="J12" i="104" s="1"/>
  <c r="H12" i="104"/>
  <c r="F44" i="103"/>
  <c r="F45" i="103" s="1"/>
  <c r="D9" i="109"/>
  <c r="D18" i="109" s="1"/>
  <c r="D21" i="109" s="1"/>
  <c r="F18" i="109"/>
  <c r="F21" i="109" s="1"/>
  <c r="D19" i="105"/>
  <c r="D20" i="105" s="1"/>
  <c r="E18" i="109"/>
  <c r="E21" i="109" s="1"/>
  <c r="I10" i="58"/>
  <c r="E44" i="103"/>
  <c r="E45" i="103" s="1"/>
  <c r="F39" i="103"/>
  <c r="E39" i="103"/>
  <c r="D44" i="103"/>
  <c r="D45" i="103" s="1"/>
  <c r="F12" i="58"/>
  <c r="I12" i="58"/>
  <c r="G19" i="105"/>
  <c r="E19" i="105" l="1"/>
  <c r="F9" i="103"/>
  <c r="F11" i="103" s="1"/>
  <c r="E11" i="103"/>
  <c r="F13" i="93"/>
  <c r="H9" i="103"/>
  <c r="J10" i="58"/>
  <c r="H10" i="58"/>
  <c r="F18" i="103"/>
  <c r="G10" i="58"/>
  <c r="E13" i="93"/>
  <c r="H10" i="93" s="1"/>
  <c r="H13" i="93" s="1"/>
  <c r="J10" i="93" s="1"/>
  <c r="J13" i="93" s="1"/>
  <c r="E13" i="105"/>
  <c r="H9" i="105" s="1"/>
  <c r="F13" i="105"/>
  <c r="F20" i="105" s="1"/>
  <c r="F21" i="105" s="1"/>
  <c r="H14" i="58" s="1"/>
  <c r="D21" i="69"/>
  <c r="L10" i="58"/>
  <c r="E49" i="103"/>
  <c r="F49" i="103"/>
  <c r="G20" i="105"/>
  <c r="I14" i="58" s="1"/>
  <c r="F14" i="58"/>
  <c r="I14" i="102" l="1"/>
  <c r="I19" i="102" s="1"/>
  <c r="E20" i="105"/>
  <c r="E21" i="105" s="1"/>
  <c r="G14" i="58" s="1"/>
  <c r="J9" i="103"/>
  <c r="H11" i="103"/>
  <c r="H19" i="105"/>
  <c r="H13" i="105"/>
  <c r="H13" i="104" l="1"/>
  <c r="O14" i="102"/>
  <c r="O19" i="102" s="1"/>
  <c r="J9" i="105"/>
  <c r="H20" i="105"/>
  <c r="E19" i="102"/>
  <c r="N28" i="102" l="1"/>
  <c r="F13" i="104"/>
  <c r="H14" i="103"/>
  <c r="H16" i="103" s="1"/>
  <c r="E20" i="69"/>
  <c r="E21" i="69" s="1"/>
  <c r="I28" i="102"/>
  <c r="H21" i="105"/>
  <c r="J14" i="58" s="1"/>
  <c r="E15" i="103"/>
  <c r="E17" i="103" s="1"/>
  <c r="E16" i="103"/>
  <c r="F16" i="103"/>
  <c r="F15" i="103"/>
  <c r="F17" i="103" s="1"/>
  <c r="J19" i="105"/>
  <c r="J13" i="105"/>
  <c r="J15" i="58"/>
  <c r="I15" i="58"/>
  <c r="F15" i="58"/>
  <c r="L18" i="58"/>
  <c r="L20" i="58" s="1"/>
  <c r="J18" i="58"/>
  <c r="J20" i="58" s="1"/>
  <c r="I18" i="58"/>
  <c r="I20" i="58" s="1"/>
  <c r="H18" i="58"/>
  <c r="H20" i="58" s="1"/>
  <c r="F18" i="58"/>
  <c r="F20" i="58" s="1"/>
  <c r="I33" i="102" l="1"/>
  <c r="N33" i="102"/>
  <c r="F19" i="103"/>
  <c r="F21" i="103" s="1"/>
  <c r="H12" i="58" s="1"/>
  <c r="E19" i="103"/>
  <c r="E21" i="103" s="1"/>
  <c r="G12" i="58" s="1"/>
  <c r="O28" i="102"/>
  <c r="H15" i="103"/>
  <c r="H17" i="103" s="1"/>
  <c r="J10" i="103"/>
  <c r="J11" i="103" s="1"/>
  <c r="F42" i="102"/>
  <c r="J20" i="105"/>
  <c r="J21" i="105" s="1"/>
  <c r="L14" i="58" s="1"/>
  <c r="G18" i="58"/>
  <c r="G20" i="58" s="1"/>
  <c r="O33" i="102" l="1"/>
  <c r="F47" i="102"/>
  <c r="F20" i="69" s="1"/>
  <c r="F21" i="69" s="1"/>
  <c r="H19" i="103"/>
  <c r="H21" i="103" s="1"/>
  <c r="J12" i="58" s="1"/>
  <c r="N42" i="102"/>
  <c r="I42" i="102"/>
  <c r="E33" i="102"/>
  <c r="J13" i="104" l="1"/>
  <c r="I47" i="102"/>
  <c r="E47" i="102" s="1"/>
  <c r="N47" i="102"/>
  <c r="O42" i="102"/>
  <c r="J14" i="103"/>
  <c r="J15" i="103" s="1"/>
  <c r="J17" i="103" s="1"/>
  <c r="B19" i="58"/>
  <c r="B20" i="58" s="1"/>
  <c r="O47" i="102" l="1"/>
  <c r="J19" i="103"/>
  <c r="J21" i="103" s="1"/>
  <c r="L12" i="58" s="1"/>
  <c r="J16" i="103"/>
  <c r="B10" i="105" l="1"/>
  <c r="B11" i="105" s="1"/>
  <c r="B12" i="105" s="1"/>
  <c r="B13" i="105" s="1"/>
  <c r="B15" i="105" s="1"/>
  <c r="B16" i="105" s="1"/>
  <c r="B17" i="105" s="1"/>
  <c r="B19" i="105" s="1"/>
  <c r="B10" i="104"/>
  <c r="B11" i="104" s="1"/>
  <c r="B12" i="104" s="1"/>
  <c r="B13" i="104" s="1"/>
  <c r="B14" i="104" s="1"/>
  <c r="B16" i="104" s="1"/>
  <c r="B17" i="104" s="1"/>
  <c r="B18" i="104" s="1"/>
  <c r="B19" i="104" s="1"/>
  <c r="B10" i="103"/>
  <c r="B11" i="103" s="1"/>
  <c r="B12" i="103" s="1"/>
  <c r="B13" i="103" s="1"/>
  <c r="B14" i="103" s="1"/>
  <c r="B15" i="103" s="1"/>
  <c r="B16" i="103" s="1"/>
  <c r="B17" i="103" s="1"/>
  <c r="B18" i="103" s="1"/>
  <c r="B19" i="103" s="1"/>
  <c r="B20" i="103" s="1"/>
  <c r="B21" i="103" s="1"/>
  <c r="B20" i="105" l="1"/>
  <c r="B21" i="105" s="1"/>
  <c r="B11" i="58"/>
  <c r="B12" i="58" s="1"/>
  <c r="B13" i="58" s="1"/>
  <c r="B14" i="58" s="1"/>
  <c r="B15" i="58" s="1"/>
  <c r="B16" i="58" s="1"/>
  <c r="B8" i="91" l="1"/>
  <c r="B9" i="91" s="1"/>
  <c r="B10" i="91" s="1"/>
  <c r="B11" i="91" s="1"/>
  <c r="B12" i="91" s="1"/>
  <c r="B13" i="91" s="1"/>
  <c r="B14" i="91" s="1"/>
  <c r="B15" i="91" s="1"/>
  <c r="B16" i="91" s="1"/>
  <c r="B17" i="91" s="1"/>
  <c r="B18" i="91" s="1"/>
  <c r="B19" i="91" s="1"/>
  <c r="B20" i="91" s="1"/>
  <c r="B21" i="91" s="1"/>
  <c r="B22" i="91" s="1"/>
  <c r="B23" i="91" s="1"/>
  <c r="B24" i="91" s="1"/>
  <c r="B25" i="91" s="1"/>
  <c r="B30" i="91" s="1"/>
  <c r="B31" i="91" s="1"/>
  <c r="B7" i="57" l="1"/>
  <c r="B8" i="57" s="1"/>
  <c r="B9" i="57" s="1"/>
  <c r="B10" i="57" s="1"/>
  <c r="B11" i="57" l="1"/>
  <c r="B12" i="57" s="1"/>
  <c r="B13" i="57" s="1"/>
  <c r="B12" i="66"/>
  <c r="B13" i="66" s="1"/>
  <c r="B14" i="66" s="1"/>
  <c r="B28" i="67"/>
  <c r="B29" i="67" s="1"/>
  <c r="B30" i="67" s="1"/>
  <c r="B31" i="67" s="1"/>
  <c r="B14" i="57" l="1"/>
  <c r="B15" i="57" s="1"/>
  <c r="B16" i="57" s="1"/>
  <c r="B17" i="57" s="1"/>
  <c r="B18" i="57" s="1"/>
  <c r="B19" i="57" s="1"/>
  <c r="B20" i="57" s="1"/>
  <c r="B21" i="57" l="1"/>
  <c r="B22" i="57" s="1"/>
  <c r="B23" i="57" s="1"/>
  <c r="B24" i="57" s="1"/>
  <c r="B25" i="57" s="1"/>
  <c r="B26" i="57" s="1"/>
  <c r="F13" i="58"/>
  <c r="I13" i="58"/>
  <c r="I16" i="58" s="1"/>
  <c r="I21" i="58" s="1"/>
  <c r="G17" i="104" s="1"/>
  <c r="F16" i="58" l="1"/>
  <c r="F21" i="58" s="1"/>
  <c r="D17" i="104" s="1"/>
  <c r="G13" i="58" l="1"/>
  <c r="H13" i="58"/>
  <c r="J13" i="58"/>
  <c r="L13" i="58"/>
  <c r="G16" i="58"/>
  <c r="H16" i="58"/>
  <c r="J16" i="58"/>
  <c r="L16" i="58"/>
  <c r="G21" i="58"/>
  <c r="H21" i="58"/>
  <c r="J21" i="58"/>
  <c r="L21" i="58"/>
  <c r="E14" i="104"/>
  <c r="F14" i="104"/>
  <c r="H14" i="104"/>
  <c r="J14" i="104"/>
  <c r="E17" i="104"/>
  <c r="F17" i="104"/>
  <c r="H17" i="104"/>
  <c r="J17" i="104"/>
  <c r="E19" i="104"/>
  <c r="F19" i="104"/>
  <c r="H19" i="104"/>
  <c r="J19" i="104"/>
</calcChain>
</file>

<file path=xl/sharedStrings.xml><?xml version="1.0" encoding="utf-8"?>
<sst xmlns="http://schemas.openxmlformats.org/spreadsheetml/2006/main" count="1206" uniqueCount="520">
  <si>
    <t>Equity</t>
  </si>
  <si>
    <t>Reference</t>
  </si>
  <si>
    <t>S.No.</t>
  </si>
  <si>
    <t>Actual</t>
  </si>
  <si>
    <t>(Rs. Crore)</t>
  </si>
  <si>
    <t>Estimated</t>
  </si>
  <si>
    <t>Form 1</t>
  </si>
  <si>
    <t>Title</t>
  </si>
  <si>
    <t>Projected</t>
  </si>
  <si>
    <t>…</t>
  </si>
  <si>
    <t>Approved</t>
  </si>
  <si>
    <t>Remarks</t>
  </si>
  <si>
    <t>Audited</t>
  </si>
  <si>
    <t>Opening Balance of Loan</t>
  </si>
  <si>
    <t>Loan Repayment during the year</t>
  </si>
  <si>
    <t>Closing Balance of Loan</t>
  </si>
  <si>
    <t>Applicable Interest Rate (%)</t>
  </si>
  <si>
    <t>Less: Expenses Capitalised</t>
  </si>
  <si>
    <t>Particulars</t>
  </si>
  <si>
    <t>Equity portion of capitalisation during the year</t>
  </si>
  <si>
    <t>Reduction in Equity Capital on account of retirement / replacement of assets</t>
  </si>
  <si>
    <t>Regulatory Equity at the end of the year</t>
  </si>
  <si>
    <t>Form 3</t>
  </si>
  <si>
    <t>Form 4</t>
  </si>
  <si>
    <t>Form 2.1</t>
  </si>
  <si>
    <t>Form 2.2</t>
  </si>
  <si>
    <t>Planned &amp; Forced Outages</t>
  </si>
  <si>
    <t>Form 3.1</t>
  </si>
  <si>
    <t>Form 3.2</t>
  </si>
  <si>
    <t>Form 5</t>
  </si>
  <si>
    <t>Form 6</t>
  </si>
  <si>
    <t>Form 7</t>
  </si>
  <si>
    <t>Form 8</t>
  </si>
  <si>
    <t>Form 9</t>
  </si>
  <si>
    <t>Form 10</t>
  </si>
  <si>
    <t>Form 11</t>
  </si>
  <si>
    <t>Operation &amp; Maintenance Expenses</t>
  </si>
  <si>
    <t>Interest on Working Capital</t>
  </si>
  <si>
    <t>Less: Non-Tariff Income</t>
  </si>
  <si>
    <t>Units</t>
  </si>
  <si>
    <t>MW</t>
  </si>
  <si>
    <t>Target Availability for full recovery of AFC</t>
  </si>
  <si>
    <t>%</t>
  </si>
  <si>
    <t>Target PLF for Incentive</t>
  </si>
  <si>
    <t>Scheduled Generation</t>
  </si>
  <si>
    <t>MU</t>
  </si>
  <si>
    <t>Normative Auxiliary Energy Consumption</t>
  </si>
  <si>
    <t>Net Generation</t>
  </si>
  <si>
    <t>Normative Gross Station Heat Rate</t>
  </si>
  <si>
    <t>kcal/kWh</t>
  </si>
  <si>
    <t>Normative Secondary Fuel Oil Consumption</t>
  </si>
  <si>
    <t>ml/kWh</t>
  </si>
  <si>
    <t>Normative Transit Loss</t>
  </si>
  <si>
    <t>Transit Loss</t>
  </si>
  <si>
    <t xml:space="preserve">Note: </t>
  </si>
  <si>
    <t>Total Working Capital requirement</t>
  </si>
  <si>
    <t>Gross Generation</t>
  </si>
  <si>
    <t>A.</t>
  </si>
  <si>
    <t>Planned Outages</t>
  </si>
  <si>
    <t>No of days of outage</t>
  </si>
  <si>
    <t>Period of Outage</t>
  </si>
  <si>
    <t>Reasons for Outage</t>
  </si>
  <si>
    <t>B.</t>
  </si>
  <si>
    <t>Forced Outages</t>
  </si>
  <si>
    <t xml:space="preserve">Reasons for Outage </t>
  </si>
  <si>
    <t>……</t>
  </si>
  <si>
    <t>…….</t>
  </si>
  <si>
    <t>A</t>
  </si>
  <si>
    <t>A. For Existing Generating Stations</t>
  </si>
  <si>
    <t xml:space="preserve">Employee Expenses </t>
  </si>
  <si>
    <t>Total O&amp;M Expenses</t>
  </si>
  <si>
    <t>B</t>
  </si>
  <si>
    <t>C</t>
  </si>
  <si>
    <t>Basic Salary</t>
  </si>
  <si>
    <t>Dearness Allowance (DA)</t>
  </si>
  <si>
    <t>House Rent Allowance</t>
  </si>
  <si>
    <t>Conveyance Allowance</t>
  </si>
  <si>
    <t>Leave Travel Allowance</t>
  </si>
  <si>
    <t>Earned Leave Encashment</t>
  </si>
  <si>
    <t>Other Allowances</t>
  </si>
  <si>
    <t>Medical Reimbursement</t>
  </si>
  <si>
    <t>Overtime Payment</t>
  </si>
  <si>
    <t>Bonus/Ex-Gratia Payments</t>
  </si>
  <si>
    <t xml:space="preserve">Interim Relief / Wage Revision </t>
  </si>
  <si>
    <t>Staff welfare expenses</t>
  </si>
  <si>
    <t>VRS Expenses/Retrenchment Compensation</t>
  </si>
  <si>
    <t>Commission to Directors</t>
  </si>
  <si>
    <t>Training Expenses</t>
  </si>
  <si>
    <t>Payment under Workmen's Compensation Act</t>
  </si>
  <si>
    <t>Net Employee Costs</t>
  </si>
  <si>
    <t>Terminal Benefits</t>
  </si>
  <si>
    <t>Provident Fund Contribution</t>
  </si>
  <si>
    <t>Provision for PF Fund</t>
  </si>
  <si>
    <t>Pension Payments</t>
  </si>
  <si>
    <t>Gratuity Payment</t>
  </si>
  <si>
    <t>Others</t>
  </si>
  <si>
    <t xml:space="preserve">Gross Employee Expenses </t>
  </si>
  <si>
    <t xml:space="preserve">Net Employee Expenses </t>
  </si>
  <si>
    <t>Rent Rates &amp; Taxes</t>
  </si>
  <si>
    <t>Insurance</t>
  </si>
  <si>
    <t>Telephone &amp; Postage, etc.</t>
  </si>
  <si>
    <t>Legal charges &amp; Audit fee</t>
  </si>
  <si>
    <t>Professional, Consultancy, Technical fee</t>
  </si>
  <si>
    <t>Conveyance &amp; Travel</t>
  </si>
  <si>
    <t>Electricity charges</t>
  </si>
  <si>
    <t>Water charges</t>
  </si>
  <si>
    <t>Security arrangements</t>
  </si>
  <si>
    <t>Fees &amp; subscription</t>
  </si>
  <si>
    <t>Books &amp; periodicals</t>
  </si>
  <si>
    <t>Computer Stationery</t>
  </si>
  <si>
    <t>Printing &amp; Stationery</t>
  </si>
  <si>
    <t xml:space="preserve">Advertisements </t>
  </si>
  <si>
    <t>Purchase Related Advertisement Expenses</t>
  </si>
  <si>
    <t>Contribution/Donations</t>
  </si>
  <si>
    <t>License Fee  and other related fee</t>
  </si>
  <si>
    <t>Vehicle Running Expenses Truck / Delivery Van</t>
  </si>
  <si>
    <t>Vehicle Hiring Expenses Truck / Delivery Van</t>
  </si>
  <si>
    <t>Cost of services procured</t>
  </si>
  <si>
    <t>Outsourcing of metering and billing system</t>
  </si>
  <si>
    <t>Freight On Capital Equipments</t>
  </si>
  <si>
    <t>V-sat, Internet and related charges</t>
  </si>
  <si>
    <t>Training</t>
  </si>
  <si>
    <t>Bank Charges</t>
  </si>
  <si>
    <t>Miscellaneous Expenses</t>
  </si>
  <si>
    <t>Office Expenses</t>
  </si>
  <si>
    <t>Gross A &amp;G Expenses</t>
  </si>
  <si>
    <t xml:space="preserve">Net A &amp;G Expenses </t>
  </si>
  <si>
    <t>Plant &amp; Machinery</t>
  </si>
  <si>
    <t>Buildings</t>
  </si>
  <si>
    <t>Civil Works</t>
  </si>
  <si>
    <t>Hydraulic Works</t>
  </si>
  <si>
    <t>Lines &amp; Cable Networks</t>
  </si>
  <si>
    <t>Vehicles</t>
  </si>
  <si>
    <t>Furniture &amp; Fixtures</t>
  </si>
  <si>
    <t>Office Equipment</t>
  </si>
  <si>
    <t>Gross R&amp;M Expenses</t>
  </si>
  <si>
    <t>Gross Fixed Assets at beginning of year</t>
  </si>
  <si>
    <t>R&amp;M Expenses as % of GFA at beginning of year</t>
  </si>
  <si>
    <t>Additions during the year</t>
  </si>
  <si>
    <t>Total</t>
  </si>
  <si>
    <t>(MU)</t>
  </si>
  <si>
    <t>Apr</t>
  </si>
  <si>
    <t>May</t>
  </si>
  <si>
    <t>Jun</t>
  </si>
  <si>
    <t>Jul</t>
  </si>
  <si>
    <t>Aug</t>
  </si>
  <si>
    <t>Sep</t>
  </si>
  <si>
    <t>Oct</t>
  </si>
  <si>
    <t>Nov</t>
  </si>
  <si>
    <t>Dec</t>
  </si>
  <si>
    <t>Jan</t>
  </si>
  <si>
    <t>Feb</t>
  </si>
  <si>
    <t>Mar</t>
  </si>
  <si>
    <t>Actuals</t>
  </si>
  <si>
    <t xml:space="preserve"> Total</t>
  </si>
  <si>
    <t>Revenue from sale of electricity</t>
  </si>
  <si>
    <t>Non-Tariff Income</t>
  </si>
  <si>
    <t>Actual/Projected Availability</t>
  </si>
  <si>
    <t>Actual/Projected PLF</t>
  </si>
  <si>
    <t>Actual/Projected Gross Generation</t>
  </si>
  <si>
    <t>Actual/Projected Auxiliary Energy Consumption</t>
  </si>
  <si>
    <t>Actual/Projected Gross Station Heat Rate</t>
  </si>
  <si>
    <t>Actual/Projected Secondary Fuel Oil Consumption</t>
  </si>
  <si>
    <t>Actual/Projected Transit Loss</t>
  </si>
  <si>
    <t>Form 12</t>
  </si>
  <si>
    <t>Unit 1 / Station 1</t>
  </si>
  <si>
    <t>Unit 2 / Station 2</t>
  </si>
  <si>
    <t xml:space="preserve">Depreciation </t>
  </si>
  <si>
    <t>Addition of Loan during the year</t>
  </si>
  <si>
    <t>Form 13</t>
  </si>
  <si>
    <t>Total Revenue</t>
  </si>
  <si>
    <t>Auxiliary Consumption</t>
  </si>
  <si>
    <t>Normative Availability (%)</t>
  </si>
  <si>
    <t>Availability</t>
  </si>
  <si>
    <t>Plant Load Factor (PLF)</t>
  </si>
  <si>
    <t>Secondary Fuel Oil Consumption</t>
  </si>
  <si>
    <t>Opening Balance of Gross Normative Loan</t>
  </si>
  <si>
    <t>Cumulative Repayment till the year</t>
  </si>
  <si>
    <t>Opening Balance of Net Normative Loan</t>
  </si>
  <si>
    <t>Less: Reduction of Normative Loan due to retirement or replacement of assets</t>
  </si>
  <si>
    <t>Closing Balance of Net Normative Loan</t>
  </si>
  <si>
    <t>Closing Balance of Gross Normative Loan</t>
  </si>
  <si>
    <t>Return on Equity Computation</t>
  </si>
  <si>
    <t>Total Return on Equity</t>
  </si>
  <si>
    <t>Repayment of Normative loan during the year</t>
  </si>
  <si>
    <t>Total Loan</t>
  </si>
  <si>
    <t>Justification</t>
  </si>
  <si>
    <t>Financing Details</t>
  </si>
  <si>
    <t>Internal Resources</t>
  </si>
  <si>
    <t>Total Cost</t>
  </si>
  <si>
    <t>Financing of Additional Capitalisation</t>
  </si>
  <si>
    <t>Loan 2</t>
  </si>
  <si>
    <t>Loan 1</t>
  </si>
  <si>
    <t>S. No.</t>
  </si>
  <si>
    <t>Availability during the month (%)</t>
  </si>
  <si>
    <t>Cumulative Availability (%)</t>
  </si>
  <si>
    <t>Actual PLF during the month (%)</t>
  </si>
  <si>
    <t>Cumulative PLF (%)</t>
  </si>
  <si>
    <t>Gross  Generation (MU)</t>
  </si>
  <si>
    <t>Auxiliary Consumption (MU)</t>
  </si>
  <si>
    <t>Variable Charges Per Unit</t>
  </si>
  <si>
    <t>Fixed Charges During Month</t>
  </si>
  <si>
    <t>Incentive Amount</t>
  </si>
  <si>
    <t>Other recoveries/adjustments</t>
  </si>
  <si>
    <t>Rs./kWh</t>
  </si>
  <si>
    <t>Rs. Crore</t>
  </si>
  <si>
    <t>Total Revenue as per Audited Accounts</t>
  </si>
  <si>
    <t>Gross Station Heat Rate</t>
  </si>
  <si>
    <t>True-Up requirement</t>
  </si>
  <si>
    <t>Legend</t>
  </si>
  <si>
    <t xml:space="preserve">Details of outages should be submitted for each Unit of each station separately </t>
  </si>
  <si>
    <t>R &amp; M Expenses</t>
  </si>
  <si>
    <t>Installed Capacity</t>
  </si>
  <si>
    <t>Weighted average Rate of Interest on actual Loans (%)</t>
  </si>
  <si>
    <t>Average Balance of Net Normative Loan</t>
  </si>
  <si>
    <t>Average Loan Balance</t>
  </si>
  <si>
    <t>Net Generation (MU)</t>
  </si>
  <si>
    <t>Generation above target PLF (MU)</t>
  </si>
  <si>
    <t>Approved Fixed Charges</t>
  </si>
  <si>
    <t>Amount of Fuel Surcharge Adjustment</t>
  </si>
  <si>
    <t>Summary of Capital Expenditure and Capitalisation</t>
  </si>
  <si>
    <t>Type of Thermal Generating Station (Pithead/Non-Pithead)</t>
  </si>
  <si>
    <t>Form 15</t>
  </si>
  <si>
    <t>Form 16</t>
  </si>
  <si>
    <t>Regulatory Equity at the beginning of the year</t>
  </si>
  <si>
    <t>Capitalisation during the year</t>
  </si>
  <si>
    <t>Return on Regulatory Equity at the beginning of the year</t>
  </si>
  <si>
    <t>Return on Regulatory Equity addition during the year</t>
  </si>
  <si>
    <t>Revenue from Sale of Electricity</t>
  </si>
  <si>
    <t>n+1</t>
  </si>
  <si>
    <t xml:space="preserve">April-March     </t>
  </si>
  <si>
    <t>Claimed</t>
  </si>
  <si>
    <t>April - March</t>
  </si>
  <si>
    <t>Interest and finance charges on loan</t>
  </si>
  <si>
    <t>Return on Equity</t>
  </si>
  <si>
    <t>Annual Fixed Charges</t>
  </si>
  <si>
    <t>Energy Charges</t>
  </si>
  <si>
    <t>Energy Charge Rate</t>
  </si>
  <si>
    <t>Scheduled Energy (ex-bus)</t>
  </si>
  <si>
    <t>Apr - Mar</t>
  </si>
  <si>
    <t>Apr-Mar</t>
  </si>
  <si>
    <t>A&amp;G Expenses</t>
  </si>
  <si>
    <t>Note:</t>
  </si>
  <si>
    <t>The projections for the Control Period to be supported by detailed computations</t>
  </si>
  <si>
    <t>Opening Capital Works in Progress</t>
  </si>
  <si>
    <t>Closing Capital Works in Progress</t>
  </si>
  <si>
    <t>FY</t>
  </si>
  <si>
    <t>Name of the work</t>
  </si>
  <si>
    <t>Scope of work</t>
  </si>
  <si>
    <t>Total estimated cost* (Rs. Crore)</t>
  </si>
  <si>
    <t>*</t>
  </si>
  <si>
    <t>Total estimated cost to be supported by documentary evidences like work orders, investment approvals etc.</t>
  </si>
  <si>
    <t>Capitalisation during the year (Rs. Crore)</t>
  </si>
  <si>
    <t>Relevant Clause of the TSERC MYT Regulation, 2023 under which the capitalisation has been claimed</t>
  </si>
  <si>
    <t>A/c Code</t>
  </si>
  <si>
    <t>Rate of Depriciation</t>
  </si>
  <si>
    <t xml:space="preserve">Gross fixed Assets </t>
  </si>
  <si>
    <t>Provisions for depreciation</t>
  </si>
  <si>
    <t xml:space="preserve">Net fixed Assets </t>
  </si>
  <si>
    <t>At the beginning of the year</t>
  </si>
  <si>
    <t>Adjust. &amp; deductions</t>
  </si>
  <si>
    <t>At the end of the year</t>
  </si>
  <si>
    <t>Cumulative upto the beginning of the year</t>
  </si>
  <si>
    <t>Adjust. during the year</t>
  </si>
  <si>
    <t>Cumulative at the end of the year</t>
  </si>
  <si>
    <t xml:space="preserve">Asset Group                                                                                                                                                </t>
  </si>
  <si>
    <t>Form 2</t>
  </si>
  <si>
    <t>Form 2.3</t>
  </si>
  <si>
    <t>Form 2.1: Employee Expenses</t>
  </si>
  <si>
    <t>Form 2.3: Repair &amp; Maintenance Expenses</t>
  </si>
  <si>
    <t>Form 3:  Summary of Capital Expenditure and Capitalisation</t>
  </si>
  <si>
    <t>Form 3.1:  Statement of Additional Capitalisation after COD</t>
  </si>
  <si>
    <t>Form 4:  Fixed Assets &amp; Depreciation</t>
  </si>
  <si>
    <t>Capital Expenditure during the year</t>
  </si>
  <si>
    <t>Form 5:  Interest and finance charges on loan</t>
  </si>
  <si>
    <t>Normative Loan</t>
  </si>
  <si>
    <t>Interest</t>
  </si>
  <si>
    <t>Actual loan portfolio</t>
  </si>
  <si>
    <t>Finance charges</t>
  </si>
  <si>
    <t>Total Interest &amp; Finance charges</t>
  </si>
  <si>
    <t>Form 6:  Interest on working capital</t>
  </si>
  <si>
    <t>Cost of coal, towards stock</t>
  </si>
  <si>
    <t>Cost of coal for generation</t>
  </si>
  <si>
    <t>Cost of secondary fuel oil</t>
  </si>
  <si>
    <t>O&amp;M expenses</t>
  </si>
  <si>
    <t>Maintenance spares</t>
  </si>
  <si>
    <t>Less:</t>
  </si>
  <si>
    <t>Interest rate</t>
  </si>
  <si>
    <t>Interest on working capital</t>
  </si>
  <si>
    <t>Form 7:  Return on Equity</t>
  </si>
  <si>
    <t>Rate of Return on Equity</t>
  </si>
  <si>
    <t>Base rate of Return on Equity</t>
  </si>
  <si>
    <t>Effective Income Tax rate</t>
  </si>
  <si>
    <t>Form 8:  Non-Tariff Income</t>
  </si>
  <si>
    <t xml:space="preserve">April-March    </t>
  </si>
  <si>
    <t>Form 9:  Planned &amp; Forced Outages</t>
  </si>
  <si>
    <t>Form 10: Operational parameters</t>
  </si>
  <si>
    <t>Form 3.2:  Financing of Additional Capitalisation</t>
  </si>
  <si>
    <t>Additional capitalisation</t>
  </si>
  <si>
    <t>Others (Please Specify)</t>
  </si>
  <si>
    <t>Total (2+3+4+5)</t>
  </si>
  <si>
    <t>Opening Quantity</t>
  </si>
  <si>
    <t>Opening quantity of coal</t>
  </si>
  <si>
    <t>Value ot stock</t>
  </si>
  <si>
    <t>MT</t>
  </si>
  <si>
    <t>Procurement</t>
  </si>
  <si>
    <t>Quantity of coal suppllied by the coal company</t>
  </si>
  <si>
    <t>Coal supplied by coal company (3+4)</t>
  </si>
  <si>
    <t>Normative transit and handling loss</t>
  </si>
  <si>
    <t>Net coal supplied</t>
  </si>
  <si>
    <t>Price</t>
  </si>
  <si>
    <t>Amount charged by coal company</t>
  </si>
  <si>
    <t>Adjustment in amount charged by the coal company</t>
  </si>
  <si>
    <t>Handling, sampling and such other similar charges</t>
  </si>
  <si>
    <t>Total amount charged (8+9+10)</t>
  </si>
  <si>
    <t>D</t>
  </si>
  <si>
    <t>Transportation</t>
  </si>
  <si>
    <t>Transportation charges</t>
  </si>
  <si>
    <t>By rail</t>
  </si>
  <si>
    <t>By road</t>
  </si>
  <si>
    <t>By ship</t>
  </si>
  <si>
    <t>Adjustment in amount charged by the coal transporter</t>
  </si>
  <si>
    <t>Demurrage charges, if any</t>
  </si>
  <si>
    <t>Total Transportation charges (12+13+14+15)</t>
  </si>
  <si>
    <t>Total amount charged for coal supplied including transportation (11+16)</t>
  </si>
  <si>
    <t>E</t>
  </si>
  <si>
    <t>Landed cost of coal (2+17)/(1+7)</t>
  </si>
  <si>
    <t>Rs./MT</t>
  </si>
  <si>
    <t>Blending Ratio (Domestic/Imported)</t>
  </si>
  <si>
    <t>Weighted average cost of coal for preceding three months</t>
  </si>
  <si>
    <t>F</t>
  </si>
  <si>
    <t>Quality</t>
  </si>
  <si>
    <t>kcal/kg</t>
  </si>
  <si>
    <t>GCV of Domestic Coal supplied as per bill of Coal Company</t>
  </si>
  <si>
    <t>GCV of Imported Coal supplied as per bill Coal Company</t>
  </si>
  <si>
    <t>Weighted average GCV of coal as Billed</t>
  </si>
  <si>
    <t>GCV of Domestic Coal supplied as received at Station</t>
  </si>
  <si>
    <t>GCV of Imported Coal of opening stock as received at Station</t>
  </si>
  <si>
    <t>Weighted average GCV of coal as Received</t>
  </si>
  <si>
    <t>Similar details to be furnished for secondary fuel oil for coal based thermal plants with appropriate units.</t>
  </si>
  <si>
    <t>As billed and as received GCV, quantity of coal, and price should be submitted as certified by statutory auditor.</t>
  </si>
  <si>
    <t>Details to be provided for each source separately. In case of more than one source, add additional column.</t>
  </si>
  <si>
    <t>Break up of the amount charged by the Coal Company is to be provided separately.</t>
  </si>
  <si>
    <t>COD</t>
  </si>
  <si>
    <t>Form 11: Fuel Details for computation of Energy Charge Rate</t>
  </si>
  <si>
    <t>Form 12: Energy Charge Rate</t>
  </si>
  <si>
    <t>Secondary Fuel oil consumption</t>
  </si>
  <si>
    <t>Calorific Value of Secondary Fuel</t>
  </si>
  <si>
    <t>Landed Price of Secondary Fuel</t>
  </si>
  <si>
    <t>Landed Price of Coal</t>
  </si>
  <si>
    <t>Specific Coal Consumption</t>
  </si>
  <si>
    <t>ECR</t>
  </si>
  <si>
    <t>AUX</t>
  </si>
  <si>
    <t>SFC</t>
  </si>
  <si>
    <t>CVSF</t>
  </si>
  <si>
    <t>kcal/ml</t>
  </si>
  <si>
    <t>LPSF</t>
  </si>
  <si>
    <t>Rs./ml</t>
  </si>
  <si>
    <t>CVPF</t>
  </si>
  <si>
    <t>LPPF</t>
  </si>
  <si>
    <t>Rs./kg</t>
  </si>
  <si>
    <t>kg/kWh</t>
  </si>
  <si>
    <t>GSHR</t>
  </si>
  <si>
    <t>Gross Calorific Value of Coal</t>
  </si>
  <si>
    <r>
      <t xml:space="preserve">              </t>
    </r>
    <r>
      <rPr>
        <b/>
        <sz val="11"/>
        <rFont val="Arial"/>
        <family val="2"/>
      </rPr>
      <t xml:space="preserve">               </t>
    </r>
  </si>
  <si>
    <t>Form 13: Sales</t>
  </si>
  <si>
    <t>Beneficiary</t>
  </si>
  <si>
    <t>Fuel Surcharge</t>
  </si>
  <si>
    <t>Energy Charges Amount</t>
  </si>
  <si>
    <t>Form 15: Revenue Reconciliation</t>
  </si>
  <si>
    <t>MYT/Tariff Order</t>
  </si>
  <si>
    <t xml:space="preserve"> Tariff Filing Formats - Generation</t>
  </si>
  <si>
    <t>Form</t>
  </si>
  <si>
    <t>Checklist</t>
  </si>
  <si>
    <t>Tick</t>
  </si>
  <si>
    <t>Form 14</t>
  </si>
  <si>
    <t>Summary Sheet</t>
  </si>
  <si>
    <t>Form 2:  Operation and Maintenance Expenses</t>
  </si>
  <si>
    <t>Operation and Maintenance Expenses</t>
  </si>
  <si>
    <t>Employee Expenses</t>
  </si>
  <si>
    <t>Administration &amp; General Expenses</t>
  </si>
  <si>
    <t>Repair &amp; Maintenance Expenses</t>
  </si>
  <si>
    <t>Statement of Additional Capitalisation after COD</t>
  </si>
  <si>
    <t>Fixed Assets &amp; Depreciation</t>
  </si>
  <si>
    <t>Operational parameters</t>
  </si>
  <si>
    <t>Fuel Details for computation of Energy Charge Rate</t>
  </si>
  <si>
    <t>Sales</t>
  </si>
  <si>
    <t>Revenue Reconciliation</t>
  </si>
  <si>
    <t>Summary of true-up</t>
  </si>
  <si>
    <t>GCV of Domestic Coal of the opening stock as received at Station</t>
  </si>
  <si>
    <t>GCV of Imported Coal of the opening stock as per bill Coal Company</t>
  </si>
  <si>
    <t>GCV of Domestic Coal of the opening coal stock as per bill of Coal Company</t>
  </si>
  <si>
    <t>Cost of diesel in transporting coal through MGR system, if applicable</t>
  </si>
  <si>
    <t>Unfunded past liabilities of pension &amp; gratuity</t>
  </si>
  <si>
    <t>AFC +Energy Charges</t>
  </si>
  <si>
    <t>MYT/ Tariff Order</t>
  </si>
  <si>
    <t>Adjustment in coal quantity supplied by the coal company (-/+)</t>
  </si>
  <si>
    <r>
      <t>Receivables</t>
    </r>
    <r>
      <rPr>
        <sz val="10"/>
        <rFont val="Arial"/>
        <family val="2"/>
      </rPr>
      <t>1</t>
    </r>
  </si>
  <si>
    <r>
      <t>Payables for Fuels</t>
    </r>
    <r>
      <rPr>
        <sz val="10"/>
        <rFont val="Arial"/>
        <family val="2"/>
      </rPr>
      <t>2</t>
    </r>
  </si>
  <si>
    <t>1 In case actual availability is less or more than normative value, the modification in the formula need to be done accordingly.</t>
  </si>
  <si>
    <r>
      <t>Addition of Normative Loan due to capitalisation during the year</t>
    </r>
    <r>
      <rPr>
        <sz val="10"/>
        <rFont val="Arial"/>
        <family val="2"/>
      </rPr>
      <t>1</t>
    </r>
  </si>
  <si>
    <t>1 In case actual loan is more than 75%, the modification in the formula need to be done accordingly.</t>
  </si>
  <si>
    <t xml:space="preserve">      &lt;TGGENCO&gt;</t>
  </si>
  <si>
    <t>TGGENCO</t>
  </si>
  <si>
    <t>FY 2023-24</t>
  </si>
  <si>
    <t>FY 2024-25</t>
  </si>
  <si>
    <t>FY 2025-26</t>
  </si>
  <si>
    <t>Form 2.2: Administrative &amp; General Expenses</t>
  </si>
  <si>
    <t>Form 1: Summary Sheet</t>
  </si>
  <si>
    <t>Coal Rate</t>
  </si>
  <si>
    <t>Oil Rate</t>
  </si>
  <si>
    <t>COMPUTERS</t>
  </si>
  <si>
    <t xml:space="preserve">CURRENT CONSUMPTION CHARGES                       </t>
  </si>
  <si>
    <t xml:space="preserve">INCOME FROM SALE OF ASH                           </t>
  </si>
  <si>
    <t xml:space="preserve">INCOME FROM SALE OF COAL REJECTS                  </t>
  </si>
  <si>
    <t xml:space="preserve">INCOME FROM SALE OF SCRAP                         </t>
  </si>
  <si>
    <t xml:space="preserve">INTEREST ON CYCLE/MOPED/MOTOR CYCLE/CAR ADVANCE   </t>
  </si>
  <si>
    <t xml:space="preserve">INTEREST ON MARRIAGE ADVANCE TO STAFF             </t>
  </si>
  <si>
    <t>INTEREST ON STAFF LOANS &amp; ADVANCES(HOUSE BUILDING)</t>
  </si>
  <si>
    <t xml:space="preserve">INTEREST/INCOME FROM OTHER DEPOSITS               </t>
  </si>
  <si>
    <t xml:space="preserve">INTEREST/INCOME ON DEPOSITS FROM BANKS            </t>
  </si>
  <si>
    <t xml:space="preserve">OTHER INCOME - CONSULTANCY PROJECTS               </t>
  </si>
  <si>
    <t xml:space="preserve">OTHER MISCELLANEOUS RECEIPTS/INCOME               </t>
  </si>
  <si>
    <t xml:space="preserve">OTHER RENTAL OR LETTING OUT                       </t>
  </si>
  <si>
    <t xml:space="preserve">PENALITIES RECOVERED FROM CONTRACTORS             </t>
  </si>
  <si>
    <t xml:space="preserve">RENTAL FROM RES. QUARTERS FROM UN REG PERSONS     </t>
  </si>
  <si>
    <t xml:space="preserve">RENTAL FROM STAFF FOR RESIDENTIAL QUARTERS        </t>
  </si>
  <si>
    <t xml:space="preserve">SALE OF TENDER SPECIFICATIONS                     </t>
  </si>
  <si>
    <t xml:space="preserve">VENDOR REGISTRATION FEE                           </t>
  </si>
  <si>
    <t xml:space="preserve">WATER CHARGES                                     </t>
  </si>
  <si>
    <t>Telangana State Power Generation Corporation Limited</t>
  </si>
  <si>
    <t>Opening quantity of oil</t>
  </si>
  <si>
    <t>KL</t>
  </si>
  <si>
    <t>Rs.in Crs</t>
  </si>
  <si>
    <t>Quantity of oil suppllied by the oil company</t>
  </si>
  <si>
    <t>Adjustment in oil quantity supplied by the oil company</t>
  </si>
  <si>
    <t>oil supplied by oil company (3+4)</t>
  </si>
  <si>
    <t>Net oil supplied</t>
  </si>
  <si>
    <t>Amount charged by oil company</t>
  </si>
  <si>
    <t>Adjustment in amount charged by the oil company</t>
  </si>
  <si>
    <t>Adjustment in amount charged by the oil transporter</t>
  </si>
  <si>
    <t>Cost of diesel in transporting oil through MGR system, if
applicable</t>
  </si>
  <si>
    <t>Total amount charged for oil supplied including transportation (11+16)</t>
  </si>
  <si>
    <t>Landed cost of oil (2+17)/(1+7)</t>
  </si>
  <si>
    <t>Rs./KL</t>
  </si>
  <si>
    <t>Weighted average cost of oil for preceding three months</t>
  </si>
  <si>
    <t xml:space="preserve">GCV of Domestic Oil of the opening Oil stock as per bill of Oil Company
</t>
  </si>
  <si>
    <t>kcal/litre</t>
  </si>
  <si>
    <t>GCV of Domestic Oil supplied as per bill of Oil Company</t>
  </si>
  <si>
    <t xml:space="preserve">GCV of Imported Oil of the opening stock as per bill Oil Company 
</t>
  </si>
  <si>
    <t>GCV of Imported Oil supplied as per bill Oil Company</t>
  </si>
  <si>
    <t>Weighted average GCV of Oil as Billed</t>
  </si>
  <si>
    <t xml:space="preserve">GCV of Domestic Oil of the opening stock as received at Station
</t>
  </si>
  <si>
    <t>GCV of Domestic Oil supplied as received at Station</t>
  </si>
  <si>
    <t xml:space="preserve">GCV of Imported Oil of opening stock as received at Station
</t>
  </si>
  <si>
    <t>GCV of Imported Oil of opening stock as received at Station</t>
  </si>
  <si>
    <t>Weighted average GCV of Oil as Received</t>
  </si>
  <si>
    <t>-</t>
  </si>
  <si>
    <t>Fuel (savings)/charge year end adjustment</t>
  </si>
  <si>
    <t>Fixed charges disallowed as per TGSLDC Availability</t>
  </si>
  <si>
    <t>Fixed charges reduced prorata to actual capitalisation in case of BTPS</t>
  </si>
  <si>
    <t>TGSPDCL (70.55%)</t>
  </si>
  <si>
    <t>TGNPDCL (29.45%)</t>
  </si>
  <si>
    <t>Revised Proposal</t>
  </si>
  <si>
    <t>True-Up requirement (normative)</t>
  </si>
  <si>
    <t>True-Up requirement (Normative)</t>
  </si>
  <si>
    <t>FY 2026-27</t>
  </si>
  <si>
    <t>KTPP-II</t>
  </si>
  <si>
    <t>KTPP II</t>
  </si>
  <si>
    <t>BUILDINGS</t>
  </si>
  <si>
    <t>LINES AND CABLE NETWORK</t>
  </si>
  <si>
    <t>PLANT AND EQUIPMENT</t>
  </si>
  <si>
    <t>CAPITAL SPARES</t>
  </si>
  <si>
    <t>HYDRAULIC WORKS</t>
  </si>
  <si>
    <t>OTHER CIVIL WORKS</t>
  </si>
  <si>
    <t>FURNITURE &amp; FIXTURES</t>
  </si>
  <si>
    <t>OFFICE EQUIPMENTS</t>
  </si>
  <si>
    <t xml:space="preserve">PROFIT ON SALE OF FIXED ASSETS                    </t>
  </si>
  <si>
    <t>KTPP-I &amp; II</t>
  </si>
  <si>
    <t>Form 11.1: Fuel Details for computation of Energy Charge Rate</t>
  </si>
  <si>
    <t>HFO</t>
  </si>
  <si>
    <t>LDO</t>
  </si>
  <si>
    <t xml:space="preserve">Oil Consumption </t>
  </si>
  <si>
    <t>Oil Consumption value</t>
  </si>
  <si>
    <t>Oil Consumption rate</t>
  </si>
  <si>
    <t xml:space="preserve">Actuals </t>
  </si>
  <si>
    <t xml:space="preserve">Projected </t>
  </si>
  <si>
    <t>24.03.2016</t>
  </si>
  <si>
    <t>Non-Pit Head</t>
  </si>
  <si>
    <t>Loan 1-PFC</t>
  </si>
  <si>
    <t xml:space="preserve">      &lt;KTPP-II&gt;</t>
  </si>
  <si>
    <t>(enclosed as Annexure in Form-9 of KTPP-I)</t>
  </si>
  <si>
    <t>KTPP-II Stage</t>
  </si>
  <si>
    <t>Name of the package           (BTG, BoP, Civil Works etc.)</t>
  </si>
  <si>
    <t>Capital expenditure during the year     (Rs. Crore)</t>
  </si>
  <si>
    <t>Asset group under which the capitalisation has been accounted                          (Land, Buldings, etc.)</t>
  </si>
  <si>
    <t>2024-25</t>
  </si>
  <si>
    <t>BTG</t>
  </si>
  <si>
    <t>Certain rectification works for attending Boiler heat radiation loss, hot air issue in all 4 corners etc.</t>
  </si>
  <si>
    <t>PO NO. 4900043143, 5300001511, 5300001465 ( Enclosed)</t>
  </si>
  <si>
    <t>Raw water system pipeline works</t>
  </si>
  <si>
    <t>PO No.4900030605</t>
  </si>
  <si>
    <t>2025-26</t>
  </si>
  <si>
    <t>CHP-MM-I-Design, Engineering, Manufacturing, Testing, Inspection, Supply and Commissioning of 1 No.Crawler type coal blade Bull Dozer of Engine capacity 400 - 450 HP for Coal Handling Plant of KTPP-I&amp;II .</t>
  </si>
  <si>
    <t>To feed the coal at chp hoppers to bunkers of stage-I &amp; II and making yard and making way to the lorries at hopper shed.</t>
  </si>
  <si>
    <t>22.2(a) - Additional Capitalisation</t>
  </si>
  <si>
    <t>Enclosed</t>
  </si>
  <si>
    <t>CHP-MM-I-Procurement of 2 no KOMATSU/CAT/KOBELCO/Tata Hitachi/Hyundai Make Hydraulic Excavator (Quarry Model)  for newly constructed Additional CHP&amp; Old  CHP RC Hopper , pertaining to SD-I/MM-I/KTPP</t>
  </si>
  <si>
    <t>Vehicle</t>
  </si>
  <si>
    <t xml:space="preserve">The Additional coal handling plant also commissioned and coal feeding has taken through both the hopper. For clearance of coal, removal of boulders at newly constructed Additional CHP RC hopper area, 2 no Hydraulic Excavators are required in addition to the existing excavator. </t>
  </si>
  <si>
    <t>BOP</t>
  </si>
  <si>
    <t xml:space="preserve">Procurement of 5300RM of various MS ERW pipes required for Fly Ash handling system of KTPP- Stage-II  </t>
  </si>
  <si>
    <t xml:space="preserve">Fly ash handling system consists of 2 No’s of 200 NB &amp; 250 NB pipe lines for conveying of Fly ash from buffer hopper to Silo about a length of 3000 M &amp; 2500 M respectively. Due to abrasive nature of ash these pipes are getting eroded resulting in disintegration of fly ash lines and observed outflow of fly ash during conveyance. Also 125NB MS pipes are utilized for conveying ash from silo drains to ash pond and 150 NB MS pipes utilised for connecting ash conveying lines to ducts. These pipes need to be replaced immediately as and when required. In view of the above, the proposal for Procurement of 5300 RM of various MS ERW pipes required for fly ash handling system for CAM division of KTPP Stage- II is submitted. </t>
  </si>
  <si>
    <t>Providing  alternate arrangement to existing 11KV colony supply with RMUs and 11KV  HT cable along with required cable trays</t>
  </si>
  <si>
    <t>2026-27</t>
  </si>
  <si>
    <t>KTPP-Stage- II (1x600MW) - Construction of Coal Storage Shed with Space Frame Structure of size 210mx110mx35m for storage of 1.50 Lakh MT Coal near emergency reclaim hopper of ACHP including Design, supply, construction &amp; erection, commissioning etc., complete on EPC basis at KTPP, Chelpur(V), Ghanpur(M), Jayashankar (Bhupalpally) Dist., Telangana</t>
  </si>
  <si>
    <t>Building</t>
  </si>
  <si>
    <t>Construction of Coal Storage Shed with Space frame structure to store 1.5 Lakh MT capacity to run the Additonal coal handling plant of Stage-II during the rainy season, to avoid wet coal feeding (which will lead to chute jams interrupting the coal feeding besides consumption of more oil) to the Unit during rainy season, to have uninterrupted power generation and to avoid expenditure towards more oil consumption.</t>
  </si>
  <si>
    <t>As per Clause No.22.3 of TGERC (MYT) Regulations, 2023, the Capital expenditure incurred or Projected to be incurred in respect of existing generating stations or the transmission system, which are beyond the original scope of work, subject to prudent check</t>
  </si>
  <si>
    <t>The existing Coal storage Shed of 1Lakh MT capacity was constructed to cater the coal feeding requirement for Stage-I (1X500 MW). After the commissioning of Stage-II (Ix600 MW), the Additional Coal Handling plant was constructed and commissioned to cater the coal feeding requirement of Stage-II.  
The minimum Coal stock at KTPP(500MW+600MW) to be maintained as per revised Coal stocking norms,  Dt: 06.12.2021 of CEA is (26daysx13500MT) is 3,50,000 MT. Monthly coal consumption at KTPP is 4,00,000 MT. The coal stored in the existing coal shed at KTPP and Stacker Reclaimer open yard is 1,50,000MT and 50,000MT respectively. Hence, it is proposed to construct a coal storage shed with 1.50 Lakh MT capacity.
As such, it is quite essential to construct a new coal storage shed with 1,50,000 MT capacity at KTPP stage-II.</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</si>
</sst>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8" formatCode="&quot;$&quot;#,##0.00_);[Red]\(&quot;$&quot;#,##0.00\)"/>
    <numFmt numFmtId="43" formatCode="_(* #,##0.00_);_(* \(#,##0.00\);_(* &quot;-&quot;??_);_(@_)"/>
    <numFmt numFmtId="164" formatCode="_ * #,##0.00_ ;_ * \-#,##0.00_ ;_ * &quot;-&quot;??_ ;_ @_ "/>
    <numFmt numFmtId="165" formatCode="_-* #,##0.00_-;\-* #,##0.00_-;_-* &quot;-&quot;??_-;_-@_-"/>
    <numFmt numFmtId="166" formatCode="0.00_)"/>
    <numFmt numFmtId="167" formatCode="&quot;ß&quot;#,##0.00_);\(&quot;ß&quot;#,##0.00\)"/>
    <numFmt numFmtId="168" formatCode="0.0000000"/>
    <numFmt numFmtId="169" formatCode="0.0"/>
    <numFmt numFmtId="170" formatCode="0.000"/>
    <numFmt numFmtId="171" formatCode="0.00000000000"/>
    <numFmt numFmtId="172" formatCode="dd\.mm\.yyyy"/>
    <numFmt numFmtId="173" formatCode="_ * #,##0.000_ ;_ * \-#,##0.000_ ;_ * &quot;-&quot;???_ ;_ @_ "/>
    <numFmt numFmtId="174" formatCode="_(* #,##0.000_);_(* \(#,##0.000\);_(* &quot;-&quot;??_);_(@_)"/>
    <numFmt numFmtId="175" formatCode="_ &quot;రూ&quot;\ * #,##0.00_ ;_ &quot;రూ&quot;\ * \-#,##0.00_ ;_ &quot;రూ&quot;\ * &quot;-&quot;??_ ;_ @_ "/>
    <numFmt numFmtId="176" formatCode="0.000%"/>
  </numFmts>
  <fonts count="4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Times New Roman"/>
      <family val="1"/>
    </font>
    <font>
      <sz val="12"/>
      <name val="Arial"/>
      <family val="2"/>
    </font>
    <font>
      <sz val="10"/>
      <name val="Arial"/>
      <family val="2"/>
    </font>
    <font>
      <sz val="12"/>
      <name val="Tms Rmn"/>
    </font>
    <font>
      <sz val="10"/>
      <name val="Helv"/>
    </font>
    <font>
      <sz val="8"/>
      <name val="Arial"/>
      <family val="2"/>
    </font>
    <font>
      <b/>
      <sz val="12"/>
      <name val="Arial"/>
      <family val="2"/>
    </font>
    <font>
      <sz val="7"/>
      <name val="Small Fonts"/>
      <family val="2"/>
    </font>
    <font>
      <b/>
      <i/>
      <sz val="16"/>
      <name val="Helv"/>
    </font>
    <font>
      <sz val="11"/>
      <name val="Arial"/>
      <family val="2"/>
    </font>
    <font>
      <sz val="11"/>
      <color theme="1"/>
      <name val="Calibri"/>
      <family val="2"/>
      <scheme val="minor"/>
    </font>
    <font>
      <sz val="11"/>
      <color indexed="8"/>
      <name val="Calibri"/>
      <family val="2"/>
    </font>
    <font>
      <sz val="11"/>
      <color theme="1"/>
      <name val="Calibri"/>
      <family val="2"/>
    </font>
    <font>
      <sz val="10"/>
      <name val="Arial"/>
      <family val="2"/>
    </font>
    <font>
      <b/>
      <sz val="11"/>
      <name val="Arial"/>
      <family val="2"/>
    </font>
    <font>
      <i/>
      <sz val="11"/>
      <name val="Arial"/>
      <family val="2"/>
    </font>
    <font>
      <vertAlign val="superscript"/>
      <sz val="11"/>
      <name val="Arial"/>
      <family val="2"/>
    </font>
    <font>
      <sz val="11"/>
      <color theme="1"/>
      <name val="Arial"/>
      <family val="2"/>
    </font>
    <font>
      <b/>
      <sz val="11"/>
      <color theme="1"/>
      <name val="Arial"/>
      <family val="2"/>
    </font>
    <font>
      <b/>
      <sz val="11"/>
      <color indexed="9"/>
      <name val="Arial"/>
      <family val="2"/>
    </font>
    <font>
      <sz val="10"/>
      <name val="Arial"/>
      <family val="2"/>
    </font>
    <font>
      <u/>
      <sz val="11"/>
      <color theme="10"/>
      <name val="Calibri"/>
      <family val="2"/>
    </font>
    <font>
      <sz val="11"/>
      <color rgb="FF000000"/>
      <name val="Calibri"/>
      <family val="2"/>
      <scheme val="minor"/>
    </font>
    <font>
      <sz val="13"/>
      <name val="Arial"/>
      <family val="2"/>
    </font>
    <font>
      <sz val="12"/>
      <color theme="1"/>
      <name val="Calibri"/>
      <family val="2"/>
      <scheme val="minor"/>
    </font>
    <font>
      <sz val="13"/>
      <name val="Calibri"/>
      <family val="2"/>
      <scheme val="minor"/>
    </font>
    <font>
      <b/>
      <sz val="13"/>
      <name val="Calibri"/>
      <family val="2"/>
      <scheme val="minor"/>
    </font>
    <font>
      <b/>
      <sz val="13"/>
      <name val="Arial"/>
      <family val="2"/>
    </font>
    <font>
      <b/>
      <sz val="10"/>
      <name val="Arial"/>
      <family val="2"/>
    </font>
    <font>
      <b/>
      <sz val="11"/>
      <color indexed="8"/>
      <name val="Arial"/>
      <family val="2"/>
    </font>
    <font>
      <b/>
      <sz val="11"/>
      <color theme="1"/>
      <name val="Calibri"/>
      <family val="2"/>
      <scheme val="minor"/>
    </font>
    <font>
      <sz val="10"/>
      <color rgb="FF000000"/>
      <name val="Times New Roman"/>
      <family val="1"/>
    </font>
  </fonts>
  <fills count="8">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s>
  <borders count="25">
    <border>
      <left/>
      <right/>
      <top/>
      <bottom/>
      <diagonal/>
    </border>
    <border>
      <left/>
      <right style="thin">
        <color indexed="8"/>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470">
    <xf numFmtId="0" fontId="0" fillId="0" borderId="0"/>
    <xf numFmtId="0" fontId="12" fillId="0" borderId="0" applyNumberFormat="0" applyFill="0" applyBorder="0" applyAlignment="0" applyProtection="0"/>
    <xf numFmtId="0" fontId="13" fillId="0" borderId="1"/>
    <xf numFmtId="0" fontId="13" fillId="0" borderId="1"/>
    <xf numFmtId="38" fontId="14" fillId="2" borderId="0" applyNumberFormat="0" applyBorder="0" applyAlignment="0" applyProtection="0"/>
    <xf numFmtId="0" fontId="15" fillId="0" borderId="2" applyNumberFormat="0" applyAlignment="0" applyProtection="0">
      <alignment horizontal="left" vertical="center"/>
    </xf>
    <xf numFmtId="0" fontId="15" fillId="0" borderId="3">
      <alignment horizontal="left" vertical="center"/>
    </xf>
    <xf numFmtId="10" fontId="14" fillId="3" borderId="4" applyNumberFormat="0" applyBorder="0" applyAlignment="0" applyProtection="0"/>
    <xf numFmtId="37" fontId="16" fillId="0" borderId="0"/>
    <xf numFmtId="166" fontId="17" fillId="0" borderId="0"/>
    <xf numFmtId="0" fontId="11" fillId="0" borderId="0"/>
    <xf numFmtId="0" fontId="11" fillId="0" borderId="0"/>
    <xf numFmtId="0" fontId="9" fillId="0" borderId="0"/>
    <xf numFmtId="0" fontId="9" fillId="0" borderId="0"/>
    <xf numFmtId="0" fontId="11" fillId="0" borderId="0">
      <alignment vertical="center"/>
    </xf>
    <xf numFmtId="167" fontId="11" fillId="0" borderId="0" applyFont="0" applyFill="0" applyBorder="0" applyAlignment="0" applyProtection="0"/>
    <xf numFmtId="10" fontId="11" fillId="0" borderId="0" applyFont="0" applyFill="0" applyBorder="0" applyAlignment="0" applyProtection="0"/>
    <xf numFmtId="0" fontId="11" fillId="0" borderId="0"/>
    <xf numFmtId="0" fontId="19" fillId="0" borderId="0"/>
    <xf numFmtId="43" fontId="19" fillId="0" borderId="0" applyFont="0" applyFill="0" applyBorder="0" applyAlignment="0" applyProtection="0"/>
    <xf numFmtId="9" fontId="19" fillId="0" borderId="0" applyFont="0" applyFill="0" applyBorder="0" applyAlignment="0" applyProtection="0"/>
    <xf numFmtId="165" fontId="20" fillId="0" borderId="0" applyFont="0" applyFill="0" applyBorder="0" applyAlignment="0" applyProtection="0"/>
    <xf numFmtId="0" fontId="21" fillId="0" borderId="0"/>
    <xf numFmtId="9"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11" fillId="0" borderId="0" applyFont="0" applyFill="0" applyBorder="0" applyAlignment="0" applyProtection="0"/>
    <xf numFmtId="164" fontId="20" fillId="0" borderId="0" applyFont="0" applyFill="0" applyBorder="0" applyAlignment="0" applyProtection="0"/>
    <xf numFmtId="0" fontId="11" fillId="0" borderId="0"/>
    <xf numFmtId="0" fontId="11" fillId="0" borderId="0"/>
    <xf numFmtId="0" fontId="11" fillId="0" borderId="0"/>
    <xf numFmtId="0" fontId="11" fillId="0" borderId="0"/>
    <xf numFmtId="0" fontId="19" fillId="0" borderId="0"/>
    <xf numFmtId="0" fontId="20" fillId="0" borderId="0"/>
    <xf numFmtId="0" fontId="20" fillId="0" borderId="0"/>
    <xf numFmtId="0" fontId="19" fillId="0" borderId="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11" fillId="0" borderId="0" applyFont="0" applyFill="0" applyBorder="0" applyAlignment="0" applyProtection="0"/>
    <xf numFmtId="9" fontId="20" fillId="0" borderId="0" applyFont="0" applyFill="0" applyBorder="0" applyAlignment="0" applyProtection="0"/>
    <xf numFmtId="43" fontId="22"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0" fontId="11" fillId="0" borderId="0"/>
    <xf numFmtId="0" fontId="11" fillId="0" borderId="0"/>
    <xf numFmtId="0" fontId="9" fillId="0" borderId="0"/>
    <xf numFmtId="0" fontId="11" fillId="0" borderId="0" applyBorder="0" applyProtection="0"/>
    <xf numFmtId="167" fontId="20" fillId="0" borderId="0" applyFont="0" applyFill="0" applyBorder="0" applyAlignment="0" applyProtection="0"/>
    <xf numFmtId="0" fontId="11" fillId="0" borderId="0"/>
    <xf numFmtId="0" fontId="11" fillId="0" borderId="0"/>
    <xf numFmtId="0" fontId="11" fillId="0" borderId="0"/>
    <xf numFmtId="9" fontId="11" fillId="0" borderId="0" applyFont="0" applyFill="0" applyBorder="0" applyAlignment="0" applyProtection="0"/>
    <xf numFmtId="0" fontId="8" fillId="0" borderId="0"/>
    <xf numFmtId="43" fontId="8" fillId="0" borderId="0" applyFont="0" applyFill="0" applyBorder="0" applyAlignment="0" applyProtection="0"/>
    <xf numFmtId="165" fontId="11"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9" fontId="8" fillId="0" borderId="0" applyFont="0" applyFill="0" applyBorder="0" applyAlignment="0" applyProtection="0"/>
    <xf numFmtId="0" fontId="7" fillId="0" borderId="0"/>
    <xf numFmtId="0" fontId="7" fillId="0" borderId="0"/>
    <xf numFmtId="0" fontId="6" fillId="0" borderId="0"/>
    <xf numFmtId="0" fontId="5" fillId="0" borderId="0"/>
    <xf numFmtId="164" fontId="29" fillId="0" borderId="0" applyFont="0" applyFill="0" applyBorder="0" applyAlignment="0" applyProtection="0"/>
    <xf numFmtId="164" fontId="4" fillId="0" borderId="0" applyFont="0" applyFill="0" applyBorder="0" applyAlignment="0" applyProtection="0"/>
    <xf numFmtId="164" fontId="20" fillId="0" borderId="0" applyFont="0" applyFill="0" applyBorder="0" applyAlignment="0" applyProtection="0"/>
    <xf numFmtId="164" fontId="20" fillId="0" borderId="0" applyFont="0" applyFill="0" applyBorder="0" applyAlignment="0" applyProtection="0"/>
    <xf numFmtId="164" fontId="20" fillId="0" borderId="0" applyFont="0" applyFill="0" applyBorder="0" applyAlignment="0" applyProtection="0"/>
    <xf numFmtId="164" fontId="20"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20"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0"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0"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74" fontId="11" fillId="0" borderId="0" applyFont="0" applyFill="0" applyBorder="0" applyAlignment="0" applyProtection="0"/>
    <xf numFmtId="174" fontId="11" fillId="0" borderId="0" applyFont="0" applyFill="0" applyBorder="0" applyAlignment="0" applyProtection="0"/>
    <xf numFmtId="174" fontId="11" fillId="0" borderId="0" applyFont="0" applyFill="0" applyBorder="0" applyAlignment="0" applyProtection="0"/>
    <xf numFmtId="174" fontId="11" fillId="0" borderId="0" applyFont="0" applyFill="0" applyBorder="0" applyAlignment="0" applyProtection="0"/>
    <xf numFmtId="174" fontId="11" fillId="0" borderId="0" applyFont="0" applyFill="0" applyBorder="0" applyAlignment="0" applyProtection="0"/>
    <xf numFmtId="174" fontId="11" fillId="0" borderId="0" applyFont="0" applyFill="0" applyBorder="0" applyAlignment="0" applyProtection="0"/>
    <xf numFmtId="174" fontId="11" fillId="0" borderId="0" applyFont="0" applyFill="0" applyBorder="0" applyAlignment="0" applyProtection="0"/>
    <xf numFmtId="174" fontId="11" fillId="0" borderId="0" applyFont="0" applyFill="0" applyBorder="0" applyAlignment="0" applyProtection="0"/>
    <xf numFmtId="173"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0" fontId="4" fillId="0" borderId="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4" fillId="0" borderId="0"/>
    <xf numFmtId="8"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4" fillId="0" borderId="0"/>
    <xf numFmtId="164" fontId="11" fillId="0" borderId="0" applyFont="0" applyFill="0" applyBorder="0" applyAlignment="0" applyProtection="0"/>
    <xf numFmtId="164" fontId="11" fillId="0" borderId="0" applyFont="0" applyFill="0" applyBorder="0" applyAlignment="0" applyProtection="0"/>
    <xf numFmtId="175" fontId="11" fillId="0" borderId="0" applyFont="0" applyFill="0" applyBorder="0" applyAlignment="0" applyProtection="0"/>
    <xf numFmtId="0" fontId="30" fillId="0" borderId="0" applyNumberFormat="0" applyFill="0" applyBorder="0" applyAlignment="0" applyProtection="0">
      <alignment vertical="top"/>
      <protection locked="0"/>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11" fillId="0" borderId="0" applyFont="0" applyFill="0" applyBorder="0" applyAlignment="0" applyProtection="0"/>
    <xf numFmtId="0" fontId="4" fillId="0" borderId="0"/>
    <xf numFmtId="0" fontId="4" fillId="0" borderId="0"/>
    <xf numFmtId="0" fontId="4" fillId="0" borderId="0"/>
    <xf numFmtId="0" fontId="4" fillId="0" borderId="0"/>
    <xf numFmtId="0" fontId="3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4" fillId="0" borderId="0"/>
    <xf numFmtId="0" fontId="4" fillId="0" borderId="0"/>
    <xf numFmtId="175" fontId="11" fillId="0" borderId="0" applyFont="0" applyFill="0" applyBorder="0" applyAlignment="0" applyProtection="0"/>
    <xf numFmtId="0" fontId="4" fillId="0" borderId="0"/>
    <xf numFmtId="0" fontId="4" fillId="0" borderId="0"/>
    <xf numFmtId="0" fontId="4" fillId="0" borderId="0"/>
    <xf numFmtId="0" fontId="4" fillId="0" borderId="0"/>
    <xf numFmtId="164" fontId="4" fillId="0" borderId="0" applyFont="0" applyFill="0" applyBorder="0" applyAlignment="0" applyProtection="0"/>
    <xf numFmtId="164" fontId="4" fillId="0" borderId="0" applyFont="0" applyFill="0" applyBorder="0" applyAlignment="0" applyProtection="0"/>
    <xf numFmtId="170" fontId="4" fillId="0" borderId="0" applyFont="0" applyFill="0" applyBorder="0" applyAlignment="0" applyProtection="0"/>
    <xf numFmtId="164" fontId="4" fillId="0" borderId="0" applyFont="0" applyFill="0" applyBorder="0" applyAlignment="0" applyProtection="0"/>
    <xf numFmtId="172" fontId="11" fillId="0" borderId="0" applyFont="0" applyFill="0" applyBorder="0" applyAlignment="0" applyProtection="0"/>
    <xf numFmtId="0" fontId="4" fillId="0" borderId="0"/>
    <xf numFmtId="0" fontId="4" fillId="0" borderId="0"/>
    <xf numFmtId="164" fontId="4" fillId="0" borderId="0" applyFont="0" applyFill="0" applyBorder="0" applyAlignment="0" applyProtection="0"/>
    <xf numFmtId="0" fontId="4" fillId="0" borderId="0"/>
    <xf numFmtId="164" fontId="4" fillId="0" borderId="0" applyFont="0" applyFill="0" applyBorder="0" applyAlignment="0" applyProtection="0"/>
    <xf numFmtId="0" fontId="4" fillId="0" borderId="0"/>
    <xf numFmtId="164" fontId="4" fillId="0" borderId="0" applyFont="0" applyFill="0" applyBorder="0" applyAlignment="0" applyProtection="0"/>
    <xf numFmtId="0" fontId="4" fillId="0" borderId="0"/>
    <xf numFmtId="164" fontId="4" fillId="0" borderId="0" applyFont="0" applyFill="0" applyBorder="0" applyAlignment="0" applyProtection="0"/>
    <xf numFmtId="164" fontId="4" fillId="0" borderId="0" applyFont="0" applyFill="0" applyBorder="0" applyAlignment="0" applyProtection="0"/>
    <xf numFmtId="170" fontId="4" fillId="0" borderId="0" applyFont="0" applyFill="0" applyBorder="0" applyAlignment="0" applyProtection="0"/>
    <xf numFmtId="164" fontId="4" fillId="0" borderId="0" applyFont="0" applyFill="0" applyBorder="0" applyAlignment="0" applyProtection="0"/>
    <xf numFmtId="172" fontId="11" fillId="0" borderId="0" applyFont="0" applyFill="0" applyBorder="0" applyAlignment="0" applyProtection="0"/>
    <xf numFmtId="0" fontId="4" fillId="0" borderId="0"/>
    <xf numFmtId="164" fontId="4" fillId="0" borderId="0" applyFont="0" applyFill="0" applyBorder="0" applyAlignment="0" applyProtection="0"/>
    <xf numFmtId="0" fontId="4" fillId="0" borderId="0"/>
    <xf numFmtId="0" fontId="4" fillId="0" borderId="0"/>
    <xf numFmtId="0" fontId="4" fillId="0" borderId="0"/>
    <xf numFmtId="0" fontId="31" fillId="0" borderId="0"/>
    <xf numFmtId="0" fontId="31" fillId="0" borderId="0"/>
    <xf numFmtId="0" fontId="4" fillId="0" borderId="0"/>
    <xf numFmtId="0" fontId="31" fillId="0" borderId="0"/>
    <xf numFmtId="0" fontId="4" fillId="0" borderId="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xf numFmtId="164" fontId="11" fillId="0" borderId="0" applyFont="0" applyFill="0" applyBorder="0" applyAlignment="0" applyProtection="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xf numFmtId="164" fontId="11"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175" fontId="11" fillId="0" borderId="0" applyFont="0" applyFill="0" applyBorder="0" applyAlignment="0" applyProtection="0"/>
    <xf numFmtId="175"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8"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75" fontId="11" fillId="0" borderId="0" applyFont="0" applyFill="0" applyBorder="0" applyAlignment="0" applyProtection="0"/>
    <xf numFmtId="175" fontId="11" fillId="0" borderId="0" applyFont="0" applyFill="0" applyBorder="0" applyAlignment="0" applyProtection="0"/>
    <xf numFmtId="0" fontId="4" fillId="0" borderId="0"/>
    <xf numFmtId="0" fontId="4" fillId="0" borderId="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xf numFmtId="164" fontId="11" fillId="0" borderId="0" applyFont="0" applyFill="0" applyBorder="0" applyAlignment="0" applyProtection="0"/>
    <xf numFmtId="0" fontId="4" fillId="0" borderId="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xf numFmtId="0" fontId="4" fillId="0" borderId="0" applyFont="0" applyFill="0" applyBorder="0" applyAlignment="0" applyProtection="0"/>
    <xf numFmtId="0" fontId="31" fillId="0" borderId="0"/>
    <xf numFmtId="0" fontId="4" fillId="0" borderId="0" applyFont="0" applyFill="0" applyBorder="0" applyAlignment="0" applyProtection="0"/>
    <xf numFmtId="0" fontId="4" fillId="0" borderId="0"/>
    <xf numFmtId="0" fontId="31" fillId="0" borderId="0"/>
    <xf numFmtId="0" fontId="3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applyFont="0" applyFill="0" applyBorder="0" applyAlignment="0" applyProtection="0"/>
    <xf numFmtId="164" fontId="11" fillId="0" borderId="0" applyFont="0" applyFill="0" applyBorder="0" applyAlignment="0" applyProtection="0"/>
    <xf numFmtId="0" fontId="4" fillId="0" borderId="0"/>
    <xf numFmtId="0" fontId="11" fillId="0" borderId="0"/>
    <xf numFmtId="0" fontId="4" fillId="0" borderId="0"/>
    <xf numFmtId="0" fontId="4" fillId="0" borderId="0"/>
    <xf numFmtId="175" fontId="11" fillId="0" borderId="0" applyFont="0" applyFill="0" applyBorder="0" applyAlignment="0" applyProtection="0"/>
    <xf numFmtId="0" fontId="4" fillId="0" borderId="0"/>
    <xf numFmtId="0" fontId="4" fillId="0" borderId="0"/>
    <xf numFmtId="0" fontId="4" fillId="0" borderId="0"/>
    <xf numFmtId="164" fontId="11" fillId="0" borderId="0" applyFont="0" applyFill="0" applyBorder="0" applyAlignment="0" applyProtection="0"/>
    <xf numFmtId="0" fontId="4" fillId="0" borderId="0"/>
    <xf numFmtId="8" fontId="11" fillId="0" borderId="0" applyFont="0" applyFill="0" applyBorder="0" applyAlignment="0" applyProtection="0"/>
    <xf numFmtId="0" fontId="4" fillId="0" borderId="0"/>
    <xf numFmtId="164" fontId="11" fillId="0" borderId="0" applyFont="0" applyFill="0" applyBorder="0" applyAlignment="0" applyProtection="0"/>
    <xf numFmtId="0" fontId="4" fillId="0" borderId="0"/>
    <xf numFmtId="0" fontId="4" fillId="0" borderId="0"/>
    <xf numFmtId="164" fontId="11" fillId="0" borderId="0" applyFont="0" applyFill="0" applyBorder="0" applyAlignment="0" applyProtection="0"/>
    <xf numFmtId="164" fontId="11" fillId="0" borderId="0" applyFont="0" applyFill="0" applyBorder="0" applyAlignment="0" applyProtection="0"/>
    <xf numFmtId="0" fontId="11" fillId="0" borderId="0" applyFont="0" applyFill="0" applyBorder="0" applyAlignment="0" applyProtection="0"/>
    <xf numFmtId="164" fontId="11" fillId="0" borderId="0" applyFont="0" applyFill="0" applyBorder="0" applyAlignment="0" applyProtection="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164" fontId="11" fillId="0" borderId="0" applyFont="0" applyFill="0" applyBorder="0" applyAlignment="0" applyProtection="0"/>
    <xf numFmtId="0" fontId="4" fillId="0" borderId="0"/>
    <xf numFmtId="8" fontId="11" fillId="0" borderId="0" applyFont="0" applyFill="0" applyBorder="0" applyAlignment="0" applyProtection="0"/>
    <xf numFmtId="0" fontId="4" fillId="0" borderId="0"/>
    <xf numFmtId="164" fontId="11" fillId="0" borderId="0" applyFont="0" applyFill="0" applyBorder="0" applyAlignment="0" applyProtection="0"/>
    <xf numFmtId="0" fontId="4" fillId="0" borderId="0"/>
    <xf numFmtId="0" fontId="4" fillId="0" borderId="0"/>
    <xf numFmtId="164" fontId="11" fillId="0" borderId="0" applyFont="0" applyFill="0" applyBorder="0" applyAlignment="0" applyProtection="0"/>
    <xf numFmtId="164" fontId="11" fillId="0" borderId="0" applyFont="0" applyFill="0" applyBorder="0" applyAlignment="0" applyProtection="0"/>
    <xf numFmtId="0" fontId="11" fillId="0" borderId="0" applyFont="0" applyFill="0" applyBorder="0" applyAlignment="0" applyProtection="0"/>
    <xf numFmtId="164" fontId="11" fillId="0" borderId="0" applyFont="0" applyFill="0" applyBorder="0" applyAlignment="0" applyProtection="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164" fontId="11" fillId="0" borderId="0" applyFont="0" applyFill="0" applyBorder="0" applyAlignment="0" applyProtection="0"/>
    <xf numFmtId="0" fontId="4" fillId="0" borderId="0"/>
    <xf numFmtId="8" fontId="11" fillId="0" borderId="0" applyFont="0" applyFill="0" applyBorder="0" applyAlignment="0" applyProtection="0"/>
    <xf numFmtId="164" fontId="11" fillId="0" borderId="0" applyFont="0" applyFill="0" applyBorder="0" applyAlignment="0" applyProtection="0"/>
    <xf numFmtId="0" fontId="4" fillId="0" borderId="0"/>
    <xf numFmtId="164" fontId="11" fillId="0" borderId="0" applyFont="0" applyFill="0" applyBorder="0" applyAlignment="0" applyProtection="0"/>
    <xf numFmtId="164" fontId="11" fillId="0" borderId="0" applyFont="0" applyFill="0" applyBorder="0" applyAlignment="0" applyProtection="0"/>
    <xf numFmtId="0" fontId="11" fillId="0" borderId="0" applyFont="0" applyFill="0" applyBorder="0" applyAlignment="0" applyProtection="0"/>
    <xf numFmtId="164" fontId="11" fillId="0" borderId="0" applyFont="0" applyFill="0" applyBorder="0" applyAlignment="0" applyProtection="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164" fontId="11" fillId="0" borderId="0" applyFont="0" applyFill="0" applyBorder="0" applyAlignment="0" applyProtection="0"/>
    <xf numFmtId="0" fontId="4" fillId="0" borderId="0"/>
    <xf numFmtId="8" fontId="11" fillId="0" borderId="0" applyFont="0" applyFill="0" applyBorder="0" applyAlignment="0" applyProtection="0"/>
    <xf numFmtId="164" fontId="11" fillId="0" borderId="0" applyFont="0" applyFill="0" applyBorder="0" applyAlignment="0" applyProtection="0"/>
    <xf numFmtId="0" fontId="4" fillId="0" borderId="0"/>
    <xf numFmtId="164" fontId="11" fillId="0" borderId="0" applyFont="0" applyFill="0" applyBorder="0" applyAlignment="0" applyProtection="0"/>
    <xf numFmtId="164" fontId="11" fillId="0" borderId="0" applyFont="0" applyFill="0" applyBorder="0" applyAlignment="0" applyProtection="0"/>
    <xf numFmtId="0" fontId="11" fillId="0" borderId="0" applyFont="0" applyFill="0" applyBorder="0" applyAlignment="0" applyProtection="0"/>
    <xf numFmtId="0" fontId="4" fillId="0" borderId="0"/>
    <xf numFmtId="0" fontId="11" fillId="0" borderId="0"/>
    <xf numFmtId="0" fontId="4" fillId="0" borderId="0"/>
    <xf numFmtId="0" fontId="4" fillId="0" borderId="0"/>
    <xf numFmtId="164" fontId="11" fillId="0" borderId="0" applyFont="0" applyFill="0" applyBorder="0" applyAlignment="0" applyProtection="0"/>
    <xf numFmtId="0" fontId="4" fillId="0" borderId="0"/>
    <xf numFmtId="0" fontId="4" fillId="0" borderId="0"/>
    <xf numFmtId="0" fontId="4" fillId="0" borderId="0"/>
    <xf numFmtId="8" fontId="11" fillId="0" borderId="0" applyFont="0" applyFill="0" applyBorder="0" applyAlignment="0" applyProtection="0"/>
    <xf numFmtId="164" fontId="11" fillId="0" borderId="0" applyFont="0" applyFill="0" applyBorder="0" applyAlignment="0" applyProtection="0"/>
    <xf numFmtId="0" fontId="4" fillId="0" borderId="0"/>
    <xf numFmtId="164" fontId="11" fillId="0" borderId="0" applyFont="0" applyFill="0" applyBorder="0" applyAlignment="0" applyProtection="0"/>
    <xf numFmtId="0" fontId="11" fillId="0" borderId="0"/>
    <xf numFmtId="0" fontId="4" fillId="0" borderId="0"/>
    <xf numFmtId="0" fontId="4" fillId="0" borderId="0"/>
    <xf numFmtId="0" fontId="4" fillId="0" borderId="0"/>
    <xf numFmtId="0" fontId="4" fillId="0" borderId="0"/>
    <xf numFmtId="0" fontId="3" fillId="0" borderId="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20"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3" fillId="0" borderId="0"/>
    <xf numFmtId="164" fontId="3" fillId="0" borderId="0" applyFont="0" applyFill="0" applyBorder="0" applyAlignment="0" applyProtection="0"/>
    <xf numFmtId="0" fontId="3" fillId="0" borderId="0"/>
    <xf numFmtId="164" fontId="3" fillId="0" borderId="0" applyFont="0" applyFill="0" applyBorder="0" applyAlignment="0" applyProtection="0"/>
    <xf numFmtId="0" fontId="3" fillId="0" borderId="0"/>
    <xf numFmtId="164" fontId="3" fillId="0" borderId="0" applyFont="0" applyFill="0" applyBorder="0" applyAlignment="0" applyProtection="0"/>
    <xf numFmtId="0" fontId="3" fillId="0" borderId="0"/>
    <xf numFmtId="164" fontId="3"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2" fillId="0" borderId="0"/>
    <xf numFmtId="0" fontId="2" fillId="0" borderId="0"/>
    <xf numFmtId="0" fontId="40" fillId="0" borderId="0"/>
    <xf numFmtId="0" fontId="2" fillId="0" borderId="0"/>
    <xf numFmtId="0" fontId="2"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cellStyleXfs>
  <cellXfs count="361">
    <xf numFmtId="0" fontId="0" fillId="0" borderId="0" xfId="0"/>
    <xf numFmtId="0" fontId="10" fillId="0" borderId="0" xfId="10" applyFont="1" applyAlignment="1">
      <alignment horizontal="center" vertical="center"/>
    </xf>
    <xf numFmtId="0" fontId="18" fillId="0" borderId="4" xfId="14" applyFont="1" applyBorder="1" applyAlignment="1">
      <alignment horizontal="center" vertical="center"/>
    </xf>
    <xf numFmtId="0" fontId="18" fillId="0" borderId="4" xfId="14" applyFont="1" applyBorder="1">
      <alignment vertical="center"/>
    </xf>
    <xf numFmtId="0" fontId="18" fillId="0" borderId="0" xfId="10" applyFont="1"/>
    <xf numFmtId="0" fontId="18" fillId="0" borderId="0" xfId="10" applyFont="1" applyAlignment="1">
      <alignment vertical="center"/>
    </xf>
    <xf numFmtId="0" fontId="10" fillId="0" borderId="0" xfId="14" applyFont="1">
      <alignment vertical="center"/>
    </xf>
    <xf numFmtId="0" fontId="10" fillId="0" borderId="4" xfId="14" applyFont="1" applyBorder="1" applyAlignment="1">
      <alignment horizontal="center" vertical="center"/>
    </xf>
    <xf numFmtId="0" fontId="10" fillId="0" borderId="4" xfId="14" applyFont="1" applyBorder="1" applyAlignment="1">
      <alignment horizontal="left" vertical="center"/>
    </xf>
    <xf numFmtId="0" fontId="10" fillId="0" borderId="4" xfId="14" applyFont="1" applyBorder="1" applyAlignment="1">
      <alignment vertical="top" wrapText="1"/>
    </xf>
    <xf numFmtId="0" fontId="10" fillId="0" borderId="0" xfId="10" applyFont="1"/>
    <xf numFmtId="0" fontId="15" fillId="0" borderId="8" xfId="14" applyFont="1" applyBorder="1" applyAlignment="1">
      <alignment horizontal="center" vertical="center"/>
    </xf>
    <xf numFmtId="0" fontId="15" fillId="0" borderId="4" xfId="14" applyFont="1" applyBorder="1" applyAlignment="1">
      <alignment horizontal="center" vertical="center"/>
    </xf>
    <xf numFmtId="0" fontId="18" fillId="0" borderId="0" xfId="14" applyFont="1">
      <alignment vertical="center"/>
    </xf>
    <xf numFmtId="0" fontId="23" fillId="0" borderId="4" xfId="14" applyFont="1" applyBorder="1" applyAlignment="1">
      <alignment horizontal="center" vertical="center"/>
    </xf>
    <xf numFmtId="0" fontId="23" fillId="0" borderId="4" xfId="14" applyFont="1" applyBorder="1" applyAlignment="1">
      <alignment horizontal="center" vertical="center" wrapText="1"/>
    </xf>
    <xf numFmtId="0" fontId="18" fillId="0" borderId="4" xfId="14" applyFont="1" applyBorder="1" applyAlignment="1">
      <alignment horizontal="left" vertical="center"/>
    </xf>
    <xf numFmtId="0" fontId="18" fillId="5" borderId="4" xfId="14" applyFont="1" applyFill="1" applyBorder="1" applyAlignment="1">
      <alignment horizontal="left" vertical="center"/>
    </xf>
    <xf numFmtId="0" fontId="18" fillId="0" borderId="4" xfId="14" applyFont="1" applyBorder="1" applyAlignment="1">
      <alignment vertical="top" wrapText="1"/>
    </xf>
    <xf numFmtId="0" fontId="23" fillId="0" borderId="4" xfId="14" applyFont="1" applyBorder="1">
      <alignment vertical="center"/>
    </xf>
    <xf numFmtId="0" fontId="18" fillId="0" borderId="4" xfId="10" applyFont="1" applyBorder="1" applyAlignment="1">
      <alignment horizontal="center" vertical="center"/>
    </xf>
    <xf numFmtId="0" fontId="18" fillId="0" borderId="4" xfId="10" applyFont="1" applyBorder="1" applyAlignment="1">
      <alignment horizontal="center" vertical="center" wrapText="1"/>
    </xf>
    <xf numFmtId="0" fontId="23" fillId="0" borderId="7" xfId="10" applyFont="1" applyBorder="1" applyAlignment="1">
      <alignment horizontal="center" vertical="center" wrapText="1"/>
    </xf>
    <xf numFmtId="0" fontId="23" fillId="0" borderId="4" xfId="10" applyFont="1" applyBorder="1" applyAlignment="1">
      <alignment horizontal="center" vertical="center"/>
    </xf>
    <xf numFmtId="0" fontId="23" fillId="0" borderId="0" xfId="10" applyFont="1" applyAlignment="1">
      <alignment horizontal="left" vertical="center"/>
    </xf>
    <xf numFmtId="0" fontId="23" fillId="0" borderId="0" xfId="10" applyFont="1" applyAlignment="1">
      <alignment horizontal="right" vertical="center"/>
    </xf>
    <xf numFmtId="0" fontId="23" fillId="0" borderId="0" xfId="14" applyFont="1" applyAlignment="1">
      <alignment horizontal="right" vertical="center"/>
    </xf>
    <xf numFmtId="0" fontId="18" fillId="0" borderId="4" xfId="10" applyFont="1" applyBorder="1" applyAlignment="1">
      <alignment vertical="center"/>
    </xf>
    <xf numFmtId="0" fontId="18" fillId="0" borderId="4" xfId="0" applyFont="1" applyBorder="1" applyAlignment="1">
      <alignment vertical="center"/>
    </xf>
    <xf numFmtId="0" fontId="18" fillId="0" borderId="4" xfId="10" applyFont="1" applyBorder="1" applyAlignment="1">
      <alignment horizontal="left" vertical="center"/>
    </xf>
    <xf numFmtId="0" fontId="23" fillId="0" borderId="4" xfId="10" applyFont="1" applyBorder="1" applyAlignment="1">
      <alignment horizontal="left" vertical="center" wrapText="1"/>
    </xf>
    <xf numFmtId="0" fontId="23" fillId="0" borderId="4" xfId="10" applyFont="1" applyBorder="1" applyAlignment="1">
      <alignment horizontal="center" vertical="center" wrapText="1"/>
    </xf>
    <xf numFmtId="0" fontId="23" fillId="0" borderId="0" xfId="10" applyFont="1" applyAlignment="1">
      <alignment vertical="center"/>
    </xf>
    <xf numFmtId="0" fontId="23" fillId="0" borderId="0" xfId="14" applyFont="1" applyAlignment="1">
      <alignment horizontal="center" vertical="center"/>
    </xf>
    <xf numFmtId="0" fontId="18" fillId="0" borderId="0" xfId="10" applyFont="1" applyAlignment="1">
      <alignment horizontal="center" vertical="center"/>
    </xf>
    <xf numFmtId="0" fontId="23" fillId="0" borderId="0" xfId="10" applyFont="1" applyAlignment="1">
      <alignment horizontal="center" vertical="center"/>
    </xf>
    <xf numFmtId="0" fontId="23" fillId="0" borderId="0" xfId="14" applyFont="1">
      <alignment vertical="center"/>
    </xf>
    <xf numFmtId="0" fontId="18" fillId="0" borderId="4" xfId="10" applyFont="1" applyBorder="1" applyAlignment="1">
      <alignment horizontal="left" vertical="center" wrapText="1"/>
    </xf>
    <xf numFmtId="0" fontId="23" fillId="0" borderId="4" xfId="10" applyFont="1" applyBorder="1" applyAlignment="1">
      <alignment vertical="center"/>
    </xf>
    <xf numFmtId="0" fontId="18" fillId="0" borderId="4" xfId="10" applyFont="1" applyBorder="1" applyAlignment="1">
      <alignment horizontal="right" vertical="center"/>
    </xf>
    <xf numFmtId="0" fontId="23" fillId="0" borderId="0" xfId="10" applyFont="1" applyAlignment="1">
      <alignment horizontal="centerContinuous"/>
    </xf>
    <xf numFmtId="0" fontId="18" fillId="0" borderId="0" xfId="10" applyFont="1" applyAlignment="1">
      <alignment horizontal="centerContinuous"/>
    </xf>
    <xf numFmtId="0" fontId="18" fillId="0" borderId="4" xfId="10" applyFont="1" applyBorder="1"/>
    <xf numFmtId="0" fontId="23" fillId="0" borderId="4" xfId="10" applyFont="1" applyBorder="1"/>
    <xf numFmtId="0" fontId="23" fillId="0" borderId="0" xfId="10" applyFont="1" applyAlignment="1">
      <alignment horizontal="justify" vertical="top" wrapText="1"/>
    </xf>
    <xf numFmtId="0" fontId="18" fillId="0" borderId="0" xfId="10" applyFont="1" applyAlignment="1">
      <alignment horizontal="left"/>
    </xf>
    <xf numFmtId="0" fontId="18" fillId="0" borderId="4" xfId="10" applyFont="1" applyBorder="1" applyAlignment="1">
      <alignment wrapText="1"/>
    </xf>
    <xf numFmtId="0" fontId="18" fillId="0" borderId="0" xfId="10" applyFont="1" applyAlignment="1">
      <alignment horizontal="left" vertical="center"/>
    </xf>
    <xf numFmtId="0" fontId="18" fillId="0" borderId="0" xfId="10" applyFont="1" applyAlignment="1">
      <alignment horizontal="right" vertical="center"/>
    </xf>
    <xf numFmtId="0" fontId="24" fillId="0" borderId="0" xfId="10" applyFont="1" applyAlignment="1">
      <alignment horizontal="left" vertical="center"/>
    </xf>
    <xf numFmtId="0" fontId="24" fillId="0" borderId="0" xfId="10" applyFont="1" applyAlignment="1">
      <alignment vertical="center"/>
    </xf>
    <xf numFmtId="0" fontId="24" fillId="0" borderId="0" xfId="10" applyFont="1" applyAlignment="1">
      <alignment horizontal="center" vertical="center"/>
    </xf>
    <xf numFmtId="0" fontId="18" fillId="0" borderId="4" xfId="10" quotePrefix="1" applyFont="1" applyBorder="1" applyAlignment="1">
      <alignment horizontal="left" vertical="top" wrapText="1"/>
    </xf>
    <xf numFmtId="0" fontId="18" fillId="0" borderId="4" xfId="10" applyFont="1" applyBorder="1" applyAlignment="1">
      <alignment horizontal="left"/>
    </xf>
    <xf numFmtId="0" fontId="23" fillId="0" borderId="4" xfId="10" applyFont="1" applyBorder="1" applyAlignment="1">
      <alignment horizontal="left"/>
    </xf>
    <xf numFmtId="0" fontId="18" fillId="0" borderId="0" xfId="14" applyFont="1" applyAlignment="1">
      <alignment horizontal="center" vertical="center"/>
    </xf>
    <xf numFmtId="0" fontId="18" fillId="0" borderId="4" xfId="10" applyFont="1" applyBorder="1" applyAlignment="1">
      <alignment horizontal="left" vertical="top" wrapText="1"/>
    </xf>
    <xf numFmtId="0" fontId="23" fillId="0" borderId="0" xfId="10" applyFont="1" applyAlignment="1">
      <alignment horizontal="left"/>
    </xf>
    <xf numFmtId="0" fontId="23" fillId="0" borderId="0" xfId="10" applyFont="1" applyAlignment="1">
      <alignment horizontal="right"/>
    </xf>
    <xf numFmtId="0" fontId="23" fillId="0" borderId="0" xfId="10" applyFont="1" applyAlignment="1">
      <alignment horizontal="left" vertical="center" wrapText="1"/>
    </xf>
    <xf numFmtId="0" fontId="23" fillId="0" borderId="0" xfId="10" applyFont="1" applyAlignment="1">
      <alignment horizontal="center" vertical="center" wrapText="1"/>
    </xf>
    <xf numFmtId="0" fontId="18" fillId="0" borderId="7" xfId="10" applyFont="1" applyBorder="1" applyAlignment="1">
      <alignment horizontal="center" vertical="center"/>
    </xf>
    <xf numFmtId="0" fontId="24" fillId="0" borderId="0" xfId="10" applyFont="1" applyAlignment="1">
      <alignment horizontal="right" vertical="center"/>
    </xf>
    <xf numFmtId="0" fontId="18" fillId="0" borderId="0" xfId="10" applyFont="1" applyAlignment="1">
      <alignment horizontal="center"/>
    </xf>
    <xf numFmtId="0" fontId="23" fillId="4" borderId="13" xfId="67" applyFont="1" applyFill="1" applyBorder="1" applyAlignment="1">
      <alignment horizontal="center" vertical="center" wrapText="1"/>
    </xf>
    <xf numFmtId="0" fontId="23" fillId="4" borderId="14" xfId="67" applyFont="1" applyFill="1" applyBorder="1" applyAlignment="1">
      <alignment horizontal="center" vertical="center" wrapText="1"/>
    </xf>
    <xf numFmtId="0" fontId="18" fillId="4" borderId="12" xfId="67" applyFont="1" applyFill="1" applyBorder="1" applyAlignment="1">
      <alignment horizontal="center" vertical="center"/>
    </xf>
    <xf numFmtId="0" fontId="23" fillId="4" borderId="13" xfId="67" applyFont="1" applyFill="1" applyBorder="1" applyAlignment="1">
      <alignment horizontal="center" vertical="center"/>
    </xf>
    <xf numFmtId="0" fontId="15" fillId="0" borderId="0" xfId="14" applyFont="1" applyAlignment="1">
      <alignment horizontal="center" vertical="center"/>
    </xf>
    <xf numFmtId="0" fontId="23" fillId="0" borderId="6" xfId="14" applyFont="1" applyBorder="1" applyAlignment="1">
      <alignment horizontal="center" vertical="center" wrapText="1"/>
    </xf>
    <xf numFmtId="0" fontId="18" fillId="0" borderId="4" xfId="10" applyFont="1" applyBorder="1" applyAlignment="1">
      <alignment vertical="center" wrapText="1"/>
    </xf>
    <xf numFmtId="0" fontId="18" fillId="0" borderId="9" xfId="14" applyFont="1" applyBorder="1">
      <alignment vertical="center"/>
    </xf>
    <xf numFmtId="0" fontId="23" fillId="0" borderId="4" xfId="10" applyFont="1" applyBorder="1" applyAlignment="1">
      <alignment vertical="center" wrapText="1"/>
    </xf>
    <xf numFmtId="0" fontId="23" fillId="4" borderId="4" xfId="14" applyFont="1" applyFill="1" applyBorder="1" applyAlignment="1">
      <alignment horizontal="center" vertical="center" wrapText="1"/>
    </xf>
    <xf numFmtId="0" fontId="23" fillId="0" borderId="0" xfId="10" applyFont="1" applyAlignment="1">
      <alignment horizontal="centerContinuous" vertical="center"/>
    </xf>
    <xf numFmtId="0" fontId="18" fillId="0" borderId="0" xfId="10" applyFont="1" applyAlignment="1">
      <alignment horizontal="centerContinuous" vertical="center"/>
    </xf>
    <xf numFmtId="0" fontId="23" fillId="4" borderId="4" xfId="10" quotePrefix="1" applyFont="1" applyFill="1" applyBorder="1" applyAlignment="1">
      <alignment horizontal="center" vertical="center" wrapText="1"/>
    </xf>
    <xf numFmtId="0" fontId="23" fillId="4" borderId="4" xfId="10" applyFont="1" applyFill="1" applyBorder="1" applyAlignment="1">
      <alignment horizontal="left" vertical="center" wrapText="1"/>
    </xf>
    <xf numFmtId="0" fontId="23" fillId="4" borderId="4" xfId="10" applyFont="1" applyFill="1" applyBorder="1" applyAlignment="1">
      <alignment horizontal="center" vertical="center"/>
    </xf>
    <xf numFmtId="0" fontId="18" fillId="4" borderId="4" xfId="14" applyFont="1" applyFill="1" applyBorder="1">
      <alignment vertical="center"/>
    </xf>
    <xf numFmtId="0" fontId="18" fillId="4" borderId="4" xfId="10" applyFont="1" applyFill="1" applyBorder="1" applyAlignment="1">
      <alignment horizontal="center" vertical="center"/>
    </xf>
    <xf numFmtId="0" fontId="18" fillId="4" borderId="4" xfId="10" applyFont="1" applyFill="1" applyBorder="1" applyAlignment="1">
      <alignment vertical="center" wrapText="1"/>
    </xf>
    <xf numFmtId="0" fontId="23" fillId="4" borderId="4" xfId="10" applyFont="1" applyFill="1" applyBorder="1" applyAlignment="1">
      <alignment vertical="center" wrapText="1"/>
    </xf>
    <xf numFmtId="0" fontId="18" fillId="4" borderId="4" xfId="10" applyFont="1" applyFill="1" applyBorder="1" applyAlignment="1">
      <alignment vertical="center"/>
    </xf>
    <xf numFmtId="0" fontId="23" fillId="4" borderId="0" xfId="10" applyFont="1" applyFill="1" applyAlignment="1">
      <alignment vertical="center"/>
    </xf>
    <xf numFmtId="0" fontId="18" fillId="4" borderId="0" xfId="10" applyFont="1" applyFill="1" applyAlignment="1">
      <alignment vertical="center"/>
    </xf>
    <xf numFmtId="166" fontId="18" fillId="0" borderId="0" xfId="10" applyNumberFormat="1" applyFont="1" applyAlignment="1">
      <alignment vertical="center"/>
    </xf>
    <xf numFmtId="0" fontId="25" fillId="0" borderId="0" xfId="10" applyFont="1" applyAlignment="1">
      <alignment horizontal="left" vertical="center"/>
    </xf>
    <xf numFmtId="0" fontId="18" fillId="0" borderId="0" xfId="0" applyFont="1" applyAlignment="1">
      <alignment vertical="center"/>
    </xf>
    <xf numFmtId="0" fontId="23" fillId="0" borderId="4" xfId="0" applyFont="1" applyBorder="1" applyAlignment="1">
      <alignment horizontal="center" vertical="center"/>
    </xf>
    <xf numFmtId="0" fontId="18" fillId="0" borderId="4" xfId="0" applyFont="1" applyBorder="1" applyAlignment="1">
      <alignment horizontal="center" vertical="center"/>
    </xf>
    <xf numFmtId="0" fontId="23" fillId="0" borderId="4" xfId="0" applyFont="1" applyBorder="1" applyAlignment="1">
      <alignment vertical="center"/>
    </xf>
    <xf numFmtId="0" fontId="18" fillId="0" borderId="4" xfId="0" applyFont="1" applyBorder="1" applyAlignment="1">
      <alignment vertical="center" wrapText="1"/>
    </xf>
    <xf numFmtId="0" fontId="26" fillId="0" borderId="4" xfId="0" applyFont="1" applyBorder="1" applyAlignment="1">
      <alignment vertical="center"/>
    </xf>
    <xf numFmtId="0" fontId="26" fillId="0" borderId="7" xfId="0" applyFont="1" applyBorder="1" applyAlignment="1">
      <alignment vertical="center"/>
    </xf>
    <xf numFmtId="0" fontId="27" fillId="0" borderId="4" xfId="0" applyFont="1" applyBorder="1" applyAlignment="1">
      <alignment horizontal="center" vertical="center"/>
    </xf>
    <xf numFmtId="0" fontId="26" fillId="0" borderId="4" xfId="0" applyFont="1" applyBorder="1" applyAlignment="1">
      <alignment horizontal="center" vertical="center"/>
    </xf>
    <xf numFmtId="0" fontId="26" fillId="0" borderId="7" xfId="0" applyFont="1" applyBorder="1" applyAlignment="1">
      <alignment horizontal="center" vertical="center"/>
    </xf>
    <xf numFmtId="0" fontId="28" fillId="0" borderId="0" xfId="10" applyFont="1" applyAlignment="1">
      <alignment vertical="center"/>
    </xf>
    <xf numFmtId="16" fontId="23" fillId="0" borderId="4" xfId="10" applyNumberFormat="1" applyFont="1" applyBorder="1" applyAlignment="1">
      <alignment horizontal="center" vertical="center" wrapText="1"/>
    </xf>
    <xf numFmtId="0" fontId="23" fillId="0" borderId="8" xfId="0" applyFont="1" applyBorder="1" applyAlignment="1">
      <alignment horizontal="center" vertical="center" wrapText="1"/>
    </xf>
    <xf numFmtId="0" fontId="23" fillId="0" borderId="8" xfId="0" applyFont="1" applyBorder="1" applyAlignment="1">
      <alignment horizontal="center" vertical="center"/>
    </xf>
    <xf numFmtId="0" fontId="18" fillId="0" borderId="8" xfId="0" applyFont="1" applyBorder="1" applyAlignment="1">
      <alignment horizontal="center" vertical="center" wrapText="1"/>
    </xf>
    <xf numFmtId="0" fontId="18" fillId="0" borderId="8" xfId="0" applyFont="1" applyBorder="1" applyAlignment="1">
      <alignment vertical="center" wrapText="1"/>
    </xf>
    <xf numFmtId="2" fontId="18" fillId="0" borderId="4" xfId="0" applyNumberFormat="1" applyFont="1" applyBorder="1" applyAlignment="1">
      <alignment vertical="center"/>
    </xf>
    <xf numFmtId="0" fontId="18" fillId="0" borderId="4" xfId="0" applyFont="1" applyBorder="1" applyAlignment="1">
      <alignment horizontal="center" vertical="center" wrapText="1"/>
    </xf>
    <xf numFmtId="1" fontId="18" fillId="0" borderId="4" xfId="0" applyNumberFormat="1" applyFont="1" applyBorder="1" applyAlignment="1">
      <alignment vertical="center"/>
    </xf>
    <xf numFmtId="0" fontId="23" fillId="0" borderId="9" xfId="0" applyFont="1" applyBorder="1" applyAlignment="1">
      <alignment vertical="center" wrapText="1"/>
    </xf>
    <xf numFmtId="2" fontId="23" fillId="0" borderId="4" xfId="0" applyNumberFormat="1" applyFont="1" applyBorder="1" applyAlignment="1">
      <alignment vertical="center"/>
    </xf>
    <xf numFmtId="0" fontId="23" fillId="0" borderId="4" xfId="0" applyFont="1" applyBorder="1" applyAlignment="1">
      <alignment vertical="center" wrapText="1"/>
    </xf>
    <xf numFmtId="2" fontId="18" fillId="0" borderId="4" xfId="10" applyNumberFormat="1" applyFont="1" applyBorder="1" applyAlignment="1">
      <alignment horizontal="center" vertical="center"/>
    </xf>
    <xf numFmtId="2" fontId="23" fillId="6" borderId="4" xfId="0" applyNumberFormat="1" applyFont="1" applyFill="1" applyBorder="1" applyAlignment="1">
      <alignment vertical="center"/>
    </xf>
    <xf numFmtId="2" fontId="23" fillId="0" borderId="4" xfId="10" applyNumberFormat="1" applyFont="1" applyBorder="1" applyAlignment="1">
      <alignment horizontal="center" vertical="center" wrapText="1"/>
    </xf>
    <xf numFmtId="2" fontId="18" fillId="0" borderId="4" xfId="10" applyNumberFormat="1" applyFont="1" applyBorder="1" applyAlignment="1">
      <alignment horizontal="center" vertical="center" wrapText="1"/>
    </xf>
    <xf numFmtId="2" fontId="23" fillId="6" borderId="4" xfId="14" applyNumberFormat="1" applyFont="1" applyFill="1" applyBorder="1">
      <alignment vertical="center"/>
    </xf>
    <xf numFmtId="2" fontId="23" fillId="6" borderId="4" xfId="10" applyNumberFormat="1" applyFont="1" applyFill="1" applyBorder="1" applyAlignment="1">
      <alignment vertical="center"/>
    </xf>
    <xf numFmtId="0" fontId="23" fillId="0" borderId="9" xfId="14" applyFont="1" applyBorder="1">
      <alignment vertical="center"/>
    </xf>
    <xf numFmtId="2" fontId="23" fillId="6" borderId="9" xfId="14" applyNumberFormat="1" applyFont="1" applyFill="1" applyBorder="1">
      <alignment vertical="center"/>
    </xf>
    <xf numFmtId="10" fontId="23" fillId="6" borderId="13" xfId="67" applyNumberFormat="1" applyFont="1" applyFill="1" applyBorder="1" applyAlignment="1">
      <alignment horizontal="center" vertical="center"/>
    </xf>
    <xf numFmtId="10" fontId="18" fillId="0" borderId="9" xfId="14" applyNumberFormat="1" applyFont="1" applyBorder="1">
      <alignment vertical="center"/>
    </xf>
    <xf numFmtId="2" fontId="18" fillId="0" borderId="9" xfId="14" applyNumberFormat="1" applyFont="1" applyBorder="1">
      <alignment vertical="center"/>
    </xf>
    <xf numFmtId="2" fontId="18" fillId="0" borderId="4" xfId="10" applyNumberFormat="1" applyFont="1" applyBorder="1" applyAlignment="1">
      <alignment vertical="center"/>
    </xf>
    <xf numFmtId="2" fontId="18" fillId="0" borderId="4" xfId="14" applyNumberFormat="1" applyFont="1" applyBorder="1" applyAlignment="1">
      <alignment horizontal="center" vertical="center"/>
    </xf>
    <xf numFmtId="2" fontId="23" fillId="6" borderId="4" xfId="14" applyNumberFormat="1" applyFont="1" applyFill="1" applyBorder="1" applyAlignment="1">
      <alignment horizontal="center" vertical="center"/>
    </xf>
    <xf numFmtId="10" fontId="23" fillId="6" borderId="4" xfId="14" applyNumberFormat="1" applyFont="1" applyFill="1" applyBorder="1">
      <alignment vertical="center"/>
    </xf>
    <xf numFmtId="2" fontId="23" fillId="6" borderId="4" xfId="10" applyNumberFormat="1" applyFont="1" applyFill="1" applyBorder="1"/>
    <xf numFmtId="2" fontId="18" fillId="0" borderId="4" xfId="10" applyNumberFormat="1" applyFont="1" applyBorder="1" applyAlignment="1">
      <alignment horizontal="right" vertical="center"/>
    </xf>
    <xf numFmtId="2" fontId="23" fillId="0" borderId="4" xfId="14" applyNumberFormat="1" applyFont="1" applyBorder="1" applyAlignment="1">
      <alignment horizontal="center" vertical="center"/>
    </xf>
    <xf numFmtId="0" fontId="18" fillId="0" borderId="4" xfId="14" applyFont="1" applyBorder="1" applyAlignment="1">
      <alignment horizontal="right" vertical="center"/>
    </xf>
    <xf numFmtId="2" fontId="18" fillId="0" borderId="4" xfId="14" applyNumberFormat="1" applyFont="1" applyBorder="1" applyAlignment="1">
      <alignment horizontal="right" vertical="center"/>
    </xf>
    <xf numFmtId="0" fontId="18" fillId="0" borderId="4" xfId="10" applyFont="1" applyBorder="1" applyAlignment="1">
      <alignment horizontal="right" vertical="center" wrapText="1"/>
    </xf>
    <xf numFmtId="2" fontId="18" fillId="0" borderId="4" xfId="10" applyNumberFormat="1" applyFont="1" applyBorder="1" applyAlignment="1">
      <alignment horizontal="right" vertical="center" wrapText="1"/>
    </xf>
    <xf numFmtId="0" fontId="18" fillId="0" borderId="9" xfId="14" applyFont="1" applyBorder="1" applyAlignment="1">
      <alignment horizontal="right" vertical="center"/>
    </xf>
    <xf numFmtId="2" fontId="23" fillId="6" borderId="9" xfId="14" applyNumberFormat="1" applyFont="1" applyFill="1" applyBorder="1" applyAlignment="1">
      <alignment horizontal="right" vertical="center"/>
    </xf>
    <xf numFmtId="2" fontId="18" fillId="6" borderId="9" xfId="14" applyNumberFormat="1" applyFont="1" applyFill="1" applyBorder="1">
      <alignment vertical="center"/>
    </xf>
    <xf numFmtId="0" fontId="23" fillId="0" borderId="3" xfId="14" applyFont="1" applyBorder="1" applyAlignment="1">
      <alignment horizontal="center" vertical="center" wrapText="1"/>
    </xf>
    <xf numFmtId="0" fontId="23" fillId="0" borderId="9" xfId="0" applyFont="1" applyBorder="1" applyAlignment="1">
      <alignment horizontal="center" vertical="center"/>
    </xf>
    <xf numFmtId="2" fontId="23" fillId="0" borderId="4" xfId="10" applyNumberFormat="1" applyFont="1" applyBorder="1" applyAlignment="1">
      <alignment vertical="top" wrapText="1"/>
    </xf>
    <xf numFmtId="2" fontId="23" fillId="0" borderId="4" xfId="14" applyNumberFormat="1" applyFont="1" applyBorder="1">
      <alignment vertical="center"/>
    </xf>
    <xf numFmtId="169" fontId="18" fillId="0" borderId="4" xfId="0" applyNumberFormat="1" applyFont="1" applyBorder="1" applyAlignment="1">
      <alignment vertical="center"/>
    </xf>
    <xf numFmtId="170" fontId="23" fillId="6" borderId="4" xfId="0" applyNumberFormat="1" applyFont="1" applyFill="1" applyBorder="1" applyAlignment="1">
      <alignment vertical="center"/>
    </xf>
    <xf numFmtId="170" fontId="18" fillId="0" borderId="4" xfId="0" applyNumberFormat="1" applyFont="1" applyBorder="1" applyAlignment="1">
      <alignment vertical="center"/>
    </xf>
    <xf numFmtId="10" fontId="18" fillId="0" borderId="0" xfId="14" applyNumberFormat="1" applyFont="1">
      <alignment vertical="center"/>
    </xf>
    <xf numFmtId="2" fontId="18" fillId="0" borderId="9" xfId="14" applyNumberFormat="1" applyFont="1" applyBorder="1" applyAlignment="1">
      <alignment horizontal="right" vertical="center"/>
    </xf>
    <xf numFmtId="2" fontId="18" fillId="6" borderId="4" xfId="10" applyNumberFormat="1" applyFont="1" applyFill="1" applyBorder="1" applyAlignment="1">
      <alignment horizontal="right" vertical="center"/>
    </xf>
    <xf numFmtId="2" fontId="18" fillId="6" borderId="4" xfId="10" applyNumberFormat="1" applyFont="1" applyFill="1" applyBorder="1" applyAlignment="1">
      <alignment horizontal="right" vertical="center" wrapText="1"/>
    </xf>
    <xf numFmtId="2" fontId="23" fillId="6" borderId="4" xfId="10" applyNumberFormat="1" applyFont="1" applyFill="1" applyBorder="1" applyAlignment="1">
      <alignment horizontal="right" vertical="center"/>
    </xf>
    <xf numFmtId="2" fontId="18" fillId="0" borderId="0" xfId="14" applyNumberFormat="1" applyFont="1">
      <alignment vertical="center"/>
    </xf>
    <xf numFmtId="171" fontId="18" fillId="0" borderId="0" xfId="14" applyNumberFormat="1" applyFont="1">
      <alignment vertical="center"/>
    </xf>
    <xf numFmtId="1" fontId="18" fillId="0" borderId="0" xfId="14" applyNumberFormat="1" applyFont="1">
      <alignment vertical="center"/>
    </xf>
    <xf numFmtId="4" fontId="18" fillId="0" borderId="0" xfId="10" applyNumberFormat="1" applyFont="1" applyAlignment="1">
      <alignment vertical="center"/>
    </xf>
    <xf numFmtId="0" fontId="18" fillId="0" borderId="4" xfId="0" applyFont="1" applyBorder="1"/>
    <xf numFmtId="164" fontId="18" fillId="0" borderId="4" xfId="70" applyFont="1" applyBorder="1"/>
    <xf numFmtId="164" fontId="26" fillId="0" borderId="4" xfId="70" applyFont="1" applyBorder="1"/>
    <xf numFmtId="10" fontId="26" fillId="0" borderId="4" xfId="0" applyNumberFormat="1" applyFont="1" applyBorder="1"/>
    <xf numFmtId="168" fontId="18" fillId="0" borderId="0" xfId="10" applyNumberFormat="1" applyFont="1" applyAlignment="1">
      <alignment vertical="center"/>
    </xf>
    <xf numFmtId="164" fontId="18" fillId="0" borderId="4" xfId="70" applyFont="1" applyBorder="1" applyAlignment="1">
      <alignment horizontal="center" vertical="center"/>
    </xf>
    <xf numFmtId="164" fontId="18" fillId="0" borderId="4" xfId="70" applyFont="1" applyBorder="1" applyAlignment="1">
      <alignment vertical="center"/>
    </xf>
    <xf numFmtId="164" fontId="0" fillId="0" borderId="4" xfId="70" applyFont="1" applyBorder="1"/>
    <xf numFmtId="0" fontId="32" fillId="0" borderId="8" xfId="10" applyFont="1" applyBorder="1" applyAlignment="1">
      <alignment horizontal="center" vertical="center" wrapText="1"/>
    </xf>
    <xf numFmtId="0" fontId="32" fillId="0" borderId="4" xfId="10" applyFont="1" applyBorder="1" applyAlignment="1">
      <alignment vertical="center" wrapText="1"/>
    </xf>
    <xf numFmtId="0" fontId="32" fillId="0" borderId="4" xfId="10" applyFont="1" applyBorder="1" applyAlignment="1">
      <alignment horizontal="center" vertical="center" wrapText="1"/>
    </xf>
    <xf numFmtId="2" fontId="23" fillId="0" borderId="18" xfId="10" applyNumberFormat="1" applyFont="1" applyBorder="1" applyAlignment="1">
      <alignment vertical="center"/>
    </xf>
    <xf numFmtId="0" fontId="23" fillId="0" borderId="18" xfId="10" applyFont="1" applyBorder="1" applyAlignment="1">
      <alignment vertical="center" wrapText="1"/>
    </xf>
    <xf numFmtId="2" fontId="18" fillId="0" borderId="0" xfId="10" applyNumberFormat="1" applyFont="1" applyAlignment="1">
      <alignment horizontal="left" vertical="center"/>
    </xf>
    <xf numFmtId="2" fontId="23" fillId="6" borderId="13" xfId="19" applyNumberFormat="1" applyFont="1" applyFill="1" applyBorder="1" applyAlignment="1">
      <alignment horizontal="right" vertical="center"/>
    </xf>
    <xf numFmtId="10" fontId="23" fillId="6" borderId="13" xfId="67" applyNumberFormat="1" applyFont="1" applyFill="1" applyBorder="1" applyAlignment="1">
      <alignment horizontal="right" vertical="center"/>
    </xf>
    <xf numFmtId="164" fontId="18" fillId="0" borderId="0" xfId="10" applyNumberFormat="1" applyFont="1" applyAlignment="1">
      <alignment vertical="center"/>
    </xf>
    <xf numFmtId="0" fontId="18" fillId="4" borderId="12" xfId="67" applyFont="1" applyFill="1" applyBorder="1" applyAlignment="1">
      <alignment horizontal="right" vertical="center"/>
    </xf>
    <xf numFmtId="0" fontId="23" fillId="4" borderId="13" xfId="67" applyFont="1" applyFill="1" applyBorder="1" applyAlignment="1">
      <alignment horizontal="right" vertical="center"/>
    </xf>
    <xf numFmtId="0" fontId="10" fillId="0" borderId="4" xfId="14" applyFont="1" applyBorder="1" applyAlignment="1">
      <alignment vertical="center" wrapText="1"/>
    </xf>
    <xf numFmtId="2" fontId="18" fillId="0" borderId="0" xfId="10" applyNumberFormat="1" applyFont="1" applyAlignment="1">
      <alignment vertical="center"/>
    </xf>
    <xf numFmtId="2" fontId="23" fillId="6" borderId="4" xfId="14" applyNumberFormat="1" applyFont="1" applyFill="1" applyBorder="1" applyAlignment="1">
      <alignment horizontal="right" vertical="center"/>
    </xf>
    <xf numFmtId="2" fontId="23" fillId="5" borderId="4" xfId="14" applyNumberFormat="1" applyFont="1" applyFill="1" applyBorder="1" applyAlignment="1">
      <alignment horizontal="right" vertical="center"/>
    </xf>
    <xf numFmtId="2" fontId="23" fillId="0" borderId="4" xfId="14" applyNumberFormat="1" applyFont="1" applyBorder="1" applyAlignment="1">
      <alignment horizontal="right" vertical="center"/>
    </xf>
    <xf numFmtId="170" fontId="23" fillId="6" borderId="4" xfId="14" applyNumberFormat="1" applyFont="1" applyFill="1" applyBorder="1" applyAlignment="1">
      <alignment horizontal="right" vertical="center"/>
    </xf>
    <xf numFmtId="2" fontId="23" fillId="6" borderId="18" xfId="14" applyNumberFormat="1" applyFont="1" applyFill="1" applyBorder="1" applyAlignment="1">
      <alignment horizontal="right" vertical="center"/>
    </xf>
    <xf numFmtId="176" fontId="18" fillId="0" borderId="9" xfId="38" applyNumberFormat="1" applyFont="1" applyBorder="1" applyAlignment="1">
      <alignment vertical="center"/>
    </xf>
    <xf numFmtId="176" fontId="18" fillId="0" borderId="9" xfId="14" applyNumberFormat="1" applyFont="1" applyBorder="1">
      <alignment vertical="center"/>
    </xf>
    <xf numFmtId="176" fontId="23" fillId="6" borderId="9" xfId="14" applyNumberFormat="1" applyFont="1" applyFill="1" applyBorder="1">
      <alignment vertical="center"/>
    </xf>
    <xf numFmtId="164" fontId="23" fillId="6" borderId="13" xfId="70" applyFont="1" applyFill="1" applyBorder="1" applyAlignment="1">
      <alignment horizontal="center" vertical="center"/>
    </xf>
    <xf numFmtId="164" fontId="23" fillId="6" borderId="21" xfId="70" applyFont="1" applyFill="1" applyBorder="1" applyAlignment="1">
      <alignment horizontal="center" vertical="center"/>
    </xf>
    <xf numFmtId="164" fontId="23" fillId="6" borderId="22" xfId="70" applyFont="1" applyFill="1" applyBorder="1" applyAlignment="1">
      <alignment horizontal="center" vertical="center"/>
    </xf>
    <xf numFmtId="164" fontId="0" fillId="0" borderId="0" xfId="0" applyNumberFormat="1"/>
    <xf numFmtId="0" fontId="0" fillId="0" borderId="18" xfId="0" applyBorder="1"/>
    <xf numFmtId="0" fontId="18" fillId="0" borderId="18" xfId="10" applyFont="1" applyBorder="1" applyAlignment="1">
      <alignment horizontal="center" vertical="center"/>
    </xf>
    <xf numFmtId="2" fontId="18" fillId="0" borderId="4" xfId="14" applyNumberFormat="1" applyFont="1" applyBorder="1" applyAlignment="1">
      <alignment horizontal="right" vertical="center" wrapText="1"/>
    </xf>
    <xf numFmtId="0" fontId="18" fillId="0" borderId="0" xfId="14" applyFont="1" applyAlignment="1">
      <alignment horizontal="centerContinuous" vertical="center"/>
    </xf>
    <xf numFmtId="0" fontId="18" fillId="0" borderId="18" xfId="14" applyFont="1" applyBorder="1" applyAlignment="1">
      <alignment horizontal="left" vertical="center" wrapText="1"/>
    </xf>
    <xf numFmtId="0" fontId="18" fillId="0" borderId="18" xfId="10" applyFont="1" applyBorder="1" applyAlignment="1">
      <alignment vertical="center"/>
    </xf>
    <xf numFmtId="0" fontId="18" fillId="0" borderId="18" xfId="14" applyFont="1" applyBorder="1" applyAlignment="1">
      <alignment vertical="center" wrapText="1"/>
    </xf>
    <xf numFmtId="0" fontId="18" fillId="0" borderId="0" xfId="14" quotePrefix="1" applyFont="1" applyAlignment="1">
      <alignment horizontal="center" vertical="center" wrapText="1"/>
    </xf>
    <xf numFmtId="0" fontId="18" fillId="0" borderId="0" xfId="10" applyFont="1" applyAlignment="1">
      <alignment horizontal="center" vertical="center" wrapText="1"/>
    </xf>
    <xf numFmtId="0" fontId="18" fillId="0" borderId="0" xfId="10" applyFont="1" applyAlignment="1">
      <alignment horizontal="justify" vertical="center" wrapText="1"/>
    </xf>
    <xf numFmtId="170" fontId="34" fillId="0" borderId="18" xfId="10" applyNumberFormat="1" applyFont="1" applyBorder="1" applyAlignment="1">
      <alignment horizontal="right" vertical="center"/>
    </xf>
    <xf numFmtId="2" fontId="34" fillId="0" borderId="18" xfId="10" applyNumberFormat="1" applyFont="1" applyBorder="1" applyAlignment="1">
      <alignment horizontal="right" vertical="center"/>
    </xf>
    <xf numFmtId="2" fontId="35" fillId="0" borderId="18" xfId="10" applyNumberFormat="1" applyFont="1" applyBorder="1" applyAlignment="1">
      <alignment horizontal="right" vertical="center"/>
    </xf>
    <xf numFmtId="0" fontId="23" fillId="4" borderId="8" xfId="67" applyFont="1" applyFill="1" applyBorder="1" applyAlignment="1">
      <alignment horizontal="center" vertical="center" wrapText="1"/>
    </xf>
    <xf numFmtId="164" fontId="18" fillId="4" borderId="18" xfId="70" applyFont="1" applyFill="1" applyBorder="1" applyAlignment="1">
      <alignment horizontal="left" vertical="center"/>
    </xf>
    <xf numFmtId="0" fontId="18" fillId="4" borderId="18" xfId="67" applyFont="1" applyFill="1" applyBorder="1" applyAlignment="1">
      <alignment horizontal="center" vertical="center"/>
    </xf>
    <xf numFmtId="0" fontId="18" fillId="4" borderId="18" xfId="67" applyFont="1" applyFill="1" applyBorder="1" applyAlignment="1">
      <alignment horizontal="left" vertical="center"/>
    </xf>
    <xf numFmtId="1" fontId="18" fillId="4" borderId="18" xfId="67" applyNumberFormat="1" applyFont="1" applyFill="1" applyBorder="1" applyAlignment="1">
      <alignment horizontal="right" vertical="center"/>
    </xf>
    <xf numFmtId="164" fontId="26" fillId="0" borderId="9" xfId="70" applyFont="1" applyBorder="1"/>
    <xf numFmtId="0" fontId="18" fillId="0" borderId="18" xfId="0" applyFont="1" applyBorder="1"/>
    <xf numFmtId="10" fontId="26" fillId="0" borderId="18" xfId="0" applyNumberFormat="1" applyFont="1" applyBorder="1"/>
    <xf numFmtId="164" fontId="26" fillId="0" borderId="18" xfId="70" applyFont="1" applyBorder="1"/>
    <xf numFmtId="2" fontId="23" fillId="6" borderId="18" xfId="19" applyNumberFormat="1" applyFont="1" applyFill="1" applyBorder="1" applyAlignment="1">
      <alignment horizontal="right" vertical="center"/>
    </xf>
    <xf numFmtId="0" fontId="18" fillId="4" borderId="18" xfId="67" applyFont="1" applyFill="1" applyBorder="1" applyAlignment="1">
      <alignment horizontal="right" vertical="center"/>
    </xf>
    <xf numFmtId="0" fontId="23" fillId="4" borderId="18" xfId="67" applyFont="1" applyFill="1" applyBorder="1" applyAlignment="1">
      <alignment horizontal="right" vertical="center"/>
    </xf>
    <xf numFmtId="10" fontId="23" fillId="6" borderId="18" xfId="67" applyNumberFormat="1" applyFont="1" applyFill="1" applyBorder="1" applyAlignment="1">
      <alignment horizontal="right" vertical="center"/>
    </xf>
    <xf numFmtId="0" fontId="23" fillId="0" borderId="18" xfId="0" applyFont="1" applyBorder="1" applyAlignment="1">
      <alignment horizontal="center" vertical="center"/>
    </xf>
    <xf numFmtId="0" fontId="37" fillId="0" borderId="18" xfId="0" applyFont="1" applyBorder="1" applyAlignment="1">
      <alignment vertical="center"/>
    </xf>
    <xf numFmtId="0" fontId="37" fillId="0" borderId="18" xfId="0" applyFont="1" applyBorder="1" applyAlignment="1">
      <alignment horizontal="center"/>
    </xf>
    <xf numFmtId="0" fontId="23" fillId="0" borderId="18" xfId="0" applyFont="1" applyBorder="1" applyAlignment="1">
      <alignment vertical="center"/>
    </xf>
    <xf numFmtId="0" fontId="18" fillId="0" borderId="18" xfId="0" applyFont="1" applyBorder="1" applyAlignment="1">
      <alignment horizontal="center" vertical="center"/>
    </xf>
    <xf numFmtId="0" fontId="18" fillId="0" borderId="18" xfId="0" applyFont="1" applyBorder="1" applyAlignment="1">
      <alignment vertical="center"/>
    </xf>
    <xf numFmtId="0" fontId="0" fillId="0" borderId="18" xfId="0" applyBorder="1" applyAlignment="1">
      <alignment horizontal="center"/>
    </xf>
    <xf numFmtId="0" fontId="11" fillId="0" borderId="18" xfId="0" applyFont="1" applyBorder="1" applyAlignment="1">
      <alignment horizontal="center" vertical="center"/>
    </xf>
    <xf numFmtId="1" fontId="11" fillId="0" borderId="18" xfId="0" applyNumberFormat="1" applyFont="1" applyBorder="1" applyAlignment="1">
      <alignment vertical="center"/>
    </xf>
    <xf numFmtId="2" fontId="0" fillId="0" borderId="18" xfId="0" applyNumberFormat="1" applyBorder="1" applyAlignment="1">
      <alignment horizontal="center"/>
    </xf>
    <xf numFmtId="2" fontId="11" fillId="0" borderId="18" xfId="0" applyNumberFormat="1" applyFont="1" applyBorder="1" applyAlignment="1">
      <alignment vertical="center"/>
    </xf>
    <xf numFmtId="0" fontId="11" fillId="0" borderId="18" xfId="0" applyFont="1" applyBorder="1" applyAlignment="1">
      <alignment vertical="center"/>
    </xf>
    <xf numFmtId="0" fontId="23" fillId="0" borderId="0" xfId="0" applyFont="1" applyAlignment="1">
      <alignment vertical="center"/>
    </xf>
    <xf numFmtId="2" fontId="0" fillId="0" borderId="18" xfId="0" applyNumberFormat="1" applyBorder="1"/>
    <xf numFmtId="0" fontId="18" fillId="0" borderId="0" xfId="0" applyFont="1" applyAlignment="1">
      <alignment horizontal="center" vertical="center"/>
    </xf>
    <xf numFmtId="0" fontId="23" fillId="6" borderId="18" xfId="0" applyFont="1" applyFill="1" applyBorder="1" applyAlignment="1">
      <alignment vertical="center"/>
    </xf>
    <xf numFmtId="2" fontId="23" fillId="6" borderId="18" xfId="0" applyNumberFormat="1" applyFont="1" applyFill="1" applyBorder="1" applyAlignment="1">
      <alignment vertical="center"/>
    </xf>
    <xf numFmtId="2" fontId="18" fillId="0" borderId="18" xfId="0" applyNumberFormat="1" applyFont="1" applyBorder="1" applyAlignment="1">
      <alignment vertical="center"/>
    </xf>
    <xf numFmtId="0" fontId="18" fillId="0" borderId="18" xfId="0" applyFont="1" applyBorder="1" applyAlignment="1">
      <alignment vertical="center" wrapText="1"/>
    </xf>
    <xf numFmtId="2" fontId="18" fillId="0" borderId="18" xfId="0" applyNumberFormat="1" applyFont="1" applyBorder="1" applyAlignment="1">
      <alignment horizontal="center" vertical="center"/>
    </xf>
    <xf numFmtId="0" fontId="18" fillId="0" borderId="18" xfId="10" applyFont="1" applyBorder="1" applyAlignment="1">
      <alignment horizontal="center" vertical="center" wrapText="1"/>
    </xf>
    <xf numFmtId="0" fontId="18" fillId="0" borderId="18" xfId="14" applyFont="1" applyBorder="1" applyAlignment="1">
      <alignment horizontal="center" vertical="center" wrapText="1"/>
    </xf>
    <xf numFmtId="0" fontId="18" fillId="0" borderId="18" xfId="14" quotePrefix="1" applyFont="1" applyBorder="1" applyAlignment="1">
      <alignment horizontal="center" vertical="center" wrapText="1"/>
    </xf>
    <xf numFmtId="0" fontId="23" fillId="0" borderId="18" xfId="14" applyFont="1" applyBorder="1" applyAlignment="1">
      <alignment horizontal="center" vertical="center" wrapText="1"/>
    </xf>
    <xf numFmtId="0" fontId="23" fillId="0" borderId="18" xfId="10" applyFont="1" applyBorder="1" applyAlignment="1">
      <alignment horizontal="center" vertical="center" wrapText="1"/>
    </xf>
    <xf numFmtId="16" fontId="23" fillId="0" borderId="18" xfId="10" applyNumberFormat="1" applyFont="1" applyBorder="1" applyAlignment="1">
      <alignment horizontal="center" vertical="center" wrapText="1"/>
    </xf>
    <xf numFmtId="0" fontId="23" fillId="0" borderId="18" xfId="10" applyFont="1" applyBorder="1" applyAlignment="1">
      <alignment vertical="center"/>
    </xf>
    <xf numFmtId="0" fontId="18" fillId="0" borderId="18" xfId="10" applyFont="1" applyBorder="1" applyAlignment="1">
      <alignment horizontal="left" vertical="center" wrapText="1"/>
    </xf>
    <xf numFmtId="2" fontId="23" fillId="6" borderId="18" xfId="10" applyNumberFormat="1" applyFont="1" applyFill="1" applyBorder="1" applyAlignment="1">
      <alignment vertical="center"/>
    </xf>
    <xf numFmtId="0" fontId="23" fillId="0" borderId="18" xfId="10" applyFont="1" applyBorder="1" applyAlignment="1">
      <alignment horizontal="right" vertical="center"/>
    </xf>
    <xf numFmtId="2" fontId="27" fillId="0" borderId="18" xfId="10" applyNumberFormat="1" applyFont="1" applyBorder="1" applyAlignment="1">
      <alignment vertical="center"/>
    </xf>
    <xf numFmtId="0" fontId="27" fillId="0" borderId="18" xfId="10" applyFont="1" applyBorder="1" applyAlignment="1">
      <alignment vertical="center"/>
    </xf>
    <xf numFmtId="0" fontId="23" fillId="0" borderId="18" xfId="14" applyFont="1" applyBorder="1" applyAlignment="1">
      <alignment horizontal="left" vertical="center" wrapText="1"/>
    </xf>
    <xf numFmtId="0" fontId="38" fillId="0" borderId="18" xfId="14" applyFont="1" applyBorder="1" applyAlignment="1">
      <alignment horizontal="center" vertical="center" wrapText="1"/>
    </xf>
    <xf numFmtId="0" fontId="27" fillId="0" borderId="18" xfId="14" applyFont="1" applyBorder="1" applyAlignment="1">
      <alignment horizontal="center" vertical="center" wrapText="1"/>
    </xf>
    <xf numFmtId="0" fontId="26" fillId="0" borderId="18" xfId="10" applyFont="1" applyBorder="1" applyAlignment="1">
      <alignment vertical="center"/>
    </xf>
    <xf numFmtId="0" fontId="26" fillId="0" borderId="0" xfId="10" applyFont="1" applyAlignment="1">
      <alignment vertical="center"/>
    </xf>
    <xf numFmtId="2" fontId="33" fillId="0" borderId="18" xfId="0" applyNumberFormat="1" applyFont="1" applyBorder="1"/>
    <xf numFmtId="2" fontId="27" fillId="0" borderId="18" xfId="14" applyNumberFormat="1" applyFont="1" applyBorder="1" applyAlignment="1">
      <alignment horizontal="center" vertical="center" wrapText="1"/>
    </xf>
    <xf numFmtId="0" fontId="33" fillId="0" borderId="18" xfId="0" applyFont="1" applyBorder="1"/>
    <xf numFmtId="0" fontId="23" fillId="0" borderId="18" xfId="14" applyFont="1" applyBorder="1" applyAlignment="1">
      <alignment vertical="center" wrapText="1"/>
    </xf>
    <xf numFmtId="0" fontId="26" fillId="0" borderId="18" xfId="14" applyFont="1" applyBorder="1" applyAlignment="1">
      <alignment horizontal="center" vertical="center" wrapText="1"/>
    </xf>
    <xf numFmtId="0" fontId="23" fillId="0" borderId="0" xfId="14" applyFont="1" applyAlignment="1">
      <alignment horizontal="center" vertical="center" wrapText="1"/>
    </xf>
    <xf numFmtId="0" fontId="23" fillId="0" borderId="0" xfId="14" applyFont="1" applyAlignment="1">
      <alignment horizontal="left" vertical="center" wrapText="1"/>
    </xf>
    <xf numFmtId="170" fontId="27" fillId="0" borderId="18" xfId="14" applyNumberFormat="1" applyFont="1" applyBorder="1" applyAlignment="1">
      <alignment horizontal="center" vertical="center" wrapText="1"/>
    </xf>
    <xf numFmtId="2" fontId="33" fillId="0" borderId="0" xfId="0" applyNumberFormat="1" applyFont="1"/>
    <xf numFmtId="164" fontId="2" fillId="0" borderId="18" xfId="70" applyFont="1" applyBorder="1"/>
    <xf numFmtId="164" fontId="2" fillId="0" borderId="18" xfId="462" applyNumberFormat="1" applyBorder="1"/>
    <xf numFmtId="164" fontId="2" fillId="0" borderId="18" xfId="465" applyNumberFormat="1" applyBorder="1"/>
    <xf numFmtId="164" fontId="2" fillId="0" borderId="18" xfId="466" applyNumberFormat="1" applyBorder="1"/>
    <xf numFmtId="164" fontId="39" fillId="0" borderId="18" xfId="466" applyNumberFormat="1" applyFont="1" applyBorder="1"/>
    <xf numFmtId="0" fontId="23" fillId="4" borderId="24" xfId="67" applyFont="1" applyFill="1" applyBorder="1" applyAlignment="1">
      <alignment horizontal="center" vertical="center" wrapText="1"/>
    </xf>
    <xf numFmtId="164" fontId="18" fillId="0" borderId="18" xfId="70" applyFont="1" applyBorder="1"/>
    <xf numFmtId="1" fontId="33" fillId="0" borderId="18" xfId="0" applyNumberFormat="1" applyFont="1" applyBorder="1" applyAlignment="1">
      <alignment vertical="center"/>
    </xf>
    <xf numFmtId="170" fontId="33" fillId="0" borderId="9" xfId="0" applyNumberFormat="1" applyFont="1" applyBorder="1" applyAlignment="1">
      <alignment horizontal="right" vertical="center"/>
    </xf>
    <xf numFmtId="170" fontId="18" fillId="0" borderId="4" xfId="0" applyNumberFormat="1" applyFont="1" applyBorder="1" applyAlignment="1">
      <alignment horizontal="right" vertical="center"/>
    </xf>
    <xf numFmtId="164" fontId="18" fillId="0" borderId="18" xfId="14" applyNumberFormat="1" applyFont="1" applyBorder="1">
      <alignment vertical="center"/>
    </xf>
    <xf numFmtId="2" fontId="26" fillId="0" borderId="18" xfId="10" applyNumberFormat="1" applyFont="1" applyBorder="1" applyAlignment="1">
      <alignment vertical="center"/>
    </xf>
    <xf numFmtId="164" fontId="37" fillId="7" borderId="18" xfId="94" applyFont="1" applyFill="1" applyBorder="1"/>
    <xf numFmtId="0" fontId="23" fillId="0" borderId="0" xfId="10" applyFont="1" applyAlignment="1">
      <alignment horizontal="center" vertical="center"/>
    </xf>
    <xf numFmtId="0" fontId="23" fillId="0" borderId="0" xfId="10" applyFont="1" applyAlignment="1">
      <alignment horizontal="left" vertical="center"/>
    </xf>
    <xf numFmtId="0" fontId="23" fillId="0" borderId="18" xfId="14" applyFont="1" applyBorder="1" applyAlignment="1">
      <alignment horizontal="center" vertical="center" wrapText="1"/>
    </xf>
    <xf numFmtId="0" fontId="15" fillId="0" borderId="0" xfId="14" applyFont="1" applyAlignment="1">
      <alignment horizontal="center" vertical="center"/>
    </xf>
    <xf numFmtId="0" fontId="10" fillId="0" borderId="0" xfId="10" applyFont="1" applyAlignment="1">
      <alignment horizontal="center" vertical="center"/>
    </xf>
    <xf numFmtId="0" fontId="15" fillId="0" borderId="0" xfId="10" applyFont="1" applyAlignment="1">
      <alignment horizontal="center" vertical="center" wrapText="1"/>
    </xf>
    <xf numFmtId="0" fontId="10" fillId="0" borderId="0" xfId="10" applyFont="1" applyAlignment="1">
      <alignment horizontal="center" vertical="center" wrapText="1"/>
    </xf>
    <xf numFmtId="0" fontId="23" fillId="0" borderId="8" xfId="14" applyFont="1" applyBorder="1" applyAlignment="1">
      <alignment horizontal="center" vertical="center"/>
    </xf>
    <xf numFmtId="0" fontId="23" fillId="0" borderId="10" xfId="14" applyFont="1" applyBorder="1" applyAlignment="1">
      <alignment horizontal="center" vertical="center"/>
    </xf>
    <xf numFmtId="0" fontId="23" fillId="0" borderId="7" xfId="14" applyFont="1" applyBorder="1" applyAlignment="1">
      <alignment horizontal="center" vertical="center"/>
    </xf>
    <xf numFmtId="0" fontId="23" fillId="0" borderId="8" xfId="14" applyFont="1" applyBorder="1" applyAlignment="1">
      <alignment horizontal="center" vertical="center" wrapText="1"/>
    </xf>
    <xf numFmtId="0" fontId="23" fillId="0" borderId="10" xfId="14" applyFont="1" applyBorder="1" applyAlignment="1">
      <alignment horizontal="center" vertical="center" wrapText="1"/>
    </xf>
    <xf numFmtId="0" fontId="18" fillId="0" borderId="7" xfId="10" applyFont="1" applyBorder="1" applyAlignment="1">
      <alignment horizontal="center" vertical="center" wrapText="1"/>
    </xf>
    <xf numFmtId="0" fontId="23" fillId="0" borderId="4" xfId="14" applyFont="1" applyBorder="1" applyAlignment="1">
      <alignment horizontal="center" vertical="center"/>
    </xf>
    <xf numFmtId="0" fontId="18" fillId="0" borderId="4" xfId="10" applyFont="1" applyBorder="1" applyAlignment="1">
      <alignment horizontal="center" vertical="center"/>
    </xf>
    <xf numFmtId="0" fontId="23" fillId="0" borderId="4" xfId="14" applyFont="1" applyBorder="1" applyAlignment="1">
      <alignment horizontal="center" vertical="center" wrapText="1"/>
    </xf>
    <xf numFmtId="0" fontId="18" fillId="0" borderId="4" xfId="10" applyFont="1" applyBorder="1" applyAlignment="1">
      <alignment horizontal="center" vertical="center" wrapText="1"/>
    </xf>
    <xf numFmtId="0" fontId="23" fillId="0" borderId="6" xfId="14" applyFont="1" applyBorder="1" applyAlignment="1">
      <alignment horizontal="center" vertical="center" wrapText="1"/>
    </xf>
    <xf numFmtId="0" fontId="23" fillId="0" borderId="3" xfId="14" applyFont="1" applyBorder="1" applyAlignment="1">
      <alignment horizontal="center" vertical="center" wrapText="1"/>
    </xf>
    <xf numFmtId="0" fontId="23" fillId="0" borderId="9" xfId="14" applyFont="1" applyBorder="1" applyAlignment="1">
      <alignment horizontal="center" vertical="center" wrapText="1"/>
    </xf>
    <xf numFmtId="0" fontId="23" fillId="0" borderId="0" xfId="10" applyFont="1" applyAlignment="1">
      <alignment horizontal="center" vertical="center"/>
    </xf>
    <xf numFmtId="0" fontId="23" fillId="0" borderId="0" xfId="10" applyFont="1" applyAlignment="1">
      <alignment horizontal="left" vertical="center"/>
    </xf>
    <xf numFmtId="0" fontId="23" fillId="0" borderId="4" xfId="10" applyFont="1" applyBorder="1" applyAlignment="1">
      <alignment horizontal="center" vertical="center" wrapText="1"/>
    </xf>
    <xf numFmtId="0" fontId="23" fillId="0" borderId="8" xfId="10" applyFont="1" applyBorder="1" applyAlignment="1">
      <alignment horizontal="center" vertical="center" wrapText="1"/>
    </xf>
    <xf numFmtId="0" fontId="23" fillId="0" borderId="10" xfId="10" applyFont="1" applyBorder="1" applyAlignment="1">
      <alignment horizontal="center" vertical="center" wrapText="1"/>
    </xf>
    <xf numFmtId="0" fontId="23" fillId="0" borderId="7" xfId="10" applyFont="1" applyBorder="1" applyAlignment="1">
      <alignment horizontal="center" vertical="center" wrapText="1"/>
    </xf>
    <xf numFmtId="0" fontId="18" fillId="0" borderId="4" xfId="10" applyFont="1" applyBorder="1" applyAlignment="1">
      <alignment vertical="center"/>
    </xf>
    <xf numFmtId="0" fontId="23" fillId="0" borderId="4" xfId="10" applyFont="1" applyBorder="1" applyAlignment="1">
      <alignment horizontal="center" vertical="center"/>
    </xf>
    <xf numFmtId="0" fontId="23" fillId="4" borderId="15" xfId="67" applyFont="1" applyFill="1" applyBorder="1" applyAlignment="1">
      <alignment horizontal="center" vertical="center"/>
    </xf>
    <xf numFmtId="0" fontId="23" fillId="4" borderId="16" xfId="67" applyFont="1" applyFill="1" applyBorder="1" applyAlignment="1">
      <alignment horizontal="center" vertical="center"/>
    </xf>
    <xf numFmtId="0" fontId="23" fillId="4" borderId="17" xfId="67" applyFont="1" applyFill="1" applyBorder="1" applyAlignment="1">
      <alignment horizontal="center" vertical="center"/>
    </xf>
    <xf numFmtId="0" fontId="23" fillId="4" borderId="5" xfId="67" applyFont="1" applyFill="1" applyBorder="1" applyAlignment="1">
      <alignment horizontal="center" vertical="center" wrapText="1"/>
    </xf>
    <xf numFmtId="0" fontId="23" fillId="4" borderId="23" xfId="67" applyFont="1" applyFill="1" applyBorder="1" applyAlignment="1">
      <alignment horizontal="center" vertical="center" wrapText="1"/>
    </xf>
    <xf numFmtId="0" fontId="23" fillId="4" borderId="4" xfId="67" quotePrefix="1" applyFont="1" applyFill="1" applyBorder="1" applyAlignment="1">
      <alignment horizontal="center" vertical="center" wrapText="1"/>
    </xf>
    <xf numFmtId="0" fontId="23" fillId="4" borderId="8" xfId="67" quotePrefix="1" applyFont="1" applyFill="1" applyBorder="1" applyAlignment="1">
      <alignment horizontal="center" vertical="center" wrapText="1"/>
    </xf>
    <xf numFmtId="0" fontId="23" fillId="4" borderId="4" xfId="67" applyFont="1" applyFill="1" applyBorder="1" applyAlignment="1">
      <alignment horizontal="center" vertical="center" wrapText="1"/>
    </xf>
    <xf numFmtId="0" fontId="23" fillId="4" borderId="8" xfId="67" applyFont="1" applyFill="1" applyBorder="1" applyAlignment="1">
      <alignment horizontal="center" vertical="center" wrapText="1"/>
    </xf>
    <xf numFmtId="0" fontId="23" fillId="4" borderId="11" xfId="67" applyFont="1" applyFill="1" applyBorder="1" applyAlignment="1">
      <alignment horizontal="center" vertical="center" wrapText="1"/>
    </xf>
    <xf numFmtId="0" fontId="23" fillId="4" borderId="18" xfId="67" applyFont="1" applyFill="1" applyBorder="1" applyAlignment="1">
      <alignment horizontal="center" vertical="center"/>
    </xf>
    <xf numFmtId="0" fontId="23" fillId="4" borderId="13" xfId="67" applyFont="1" applyFill="1" applyBorder="1" applyAlignment="1">
      <alignment horizontal="center" vertical="center" wrapText="1"/>
    </xf>
    <xf numFmtId="0" fontId="23" fillId="4" borderId="18" xfId="67" quotePrefix="1" applyFont="1" applyFill="1" applyBorder="1" applyAlignment="1">
      <alignment horizontal="center" vertical="center" wrapText="1"/>
    </xf>
    <xf numFmtId="0" fontId="23" fillId="4" borderId="18" xfId="67" applyFont="1" applyFill="1" applyBorder="1" applyAlignment="1">
      <alignment horizontal="center" vertical="center" wrapText="1"/>
    </xf>
    <xf numFmtId="0" fontId="23" fillId="0" borderId="3" xfId="10" applyFont="1" applyBorder="1" applyAlignment="1">
      <alignment horizontal="center" vertical="center"/>
    </xf>
    <xf numFmtId="0" fontId="23" fillId="0" borderId="9" xfId="10" applyFont="1" applyBorder="1" applyAlignment="1">
      <alignment horizontal="center" vertical="center"/>
    </xf>
    <xf numFmtId="0" fontId="11" fillId="0" borderId="4" xfId="10" applyBorder="1" applyAlignment="1">
      <alignment horizontal="center" vertical="center" wrapText="1"/>
    </xf>
    <xf numFmtId="0" fontId="11" fillId="0" borderId="4" xfId="10" applyBorder="1" applyAlignment="1">
      <alignment horizontal="center" vertical="center"/>
    </xf>
    <xf numFmtId="0" fontId="23" fillId="0" borderId="18" xfId="14" applyFont="1" applyBorder="1" applyAlignment="1">
      <alignment horizontal="center" vertical="center" wrapText="1"/>
    </xf>
    <xf numFmtId="0" fontId="18" fillId="0" borderId="18" xfId="10" applyFont="1" applyBorder="1" applyAlignment="1">
      <alignment horizontal="center" vertical="center" wrapText="1"/>
    </xf>
    <xf numFmtId="0" fontId="23" fillId="0" borderId="18" xfId="14" quotePrefix="1" applyFont="1" applyBorder="1" applyAlignment="1">
      <alignment horizontal="center" vertical="center" wrapText="1"/>
    </xf>
    <xf numFmtId="0" fontId="23" fillId="0" borderId="6" xfId="0" applyFont="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23" fillId="0" borderId="18" xfId="0" applyFont="1" applyBorder="1" applyAlignment="1">
      <alignment horizontal="center" vertical="center"/>
    </xf>
    <xf numFmtId="2" fontId="0" fillId="0" borderId="6" xfId="0" applyNumberFormat="1" applyBorder="1" applyAlignment="1">
      <alignment horizontal="center"/>
    </xf>
    <xf numFmtId="2" fontId="0" fillId="0" borderId="9" xfId="0" applyNumberFormat="1" applyBorder="1" applyAlignment="1">
      <alignment horizontal="center"/>
    </xf>
    <xf numFmtId="1" fontId="11" fillId="0" borderId="19" xfId="0" applyNumberFormat="1" applyFont="1" applyBorder="1" applyAlignment="1">
      <alignment horizontal="center" vertical="center"/>
    </xf>
    <xf numFmtId="1" fontId="11" fillId="0" borderId="20" xfId="0" applyNumberFormat="1" applyFont="1" applyBorder="1" applyAlignment="1">
      <alignment horizontal="center" vertical="center"/>
    </xf>
    <xf numFmtId="17" fontId="23" fillId="0" borderId="6" xfId="0" applyNumberFormat="1" applyFont="1" applyBorder="1" applyAlignment="1">
      <alignment horizontal="center" vertical="center"/>
    </xf>
    <xf numFmtId="17" fontId="23" fillId="0" borderId="3" xfId="0" applyNumberFormat="1" applyFont="1" applyBorder="1" applyAlignment="1">
      <alignment horizontal="center" vertical="center"/>
    </xf>
    <xf numFmtId="0" fontId="36" fillId="0" borderId="0" xfId="14" applyFont="1" applyAlignment="1">
      <alignment horizontal="center" vertical="center"/>
    </xf>
    <xf numFmtId="0" fontId="36" fillId="0" borderId="0" xfId="10" applyFont="1" applyAlignment="1">
      <alignment horizontal="center" vertical="center"/>
    </xf>
    <xf numFmtId="0" fontId="23" fillId="0" borderId="4" xfId="0" applyFont="1" applyBorder="1" applyAlignment="1">
      <alignment horizontal="center" vertical="center"/>
    </xf>
    <xf numFmtId="0" fontId="23" fillId="0" borderId="6" xfId="10" applyFont="1" applyBorder="1" applyAlignment="1">
      <alignment horizontal="center" vertical="center"/>
    </xf>
    <xf numFmtId="0" fontId="18" fillId="0" borderId="6" xfId="10" applyFont="1" applyBorder="1" applyAlignment="1">
      <alignment horizontal="center" vertical="center"/>
    </xf>
    <xf numFmtId="0" fontId="18" fillId="0" borderId="3" xfId="10" applyFont="1" applyBorder="1" applyAlignment="1">
      <alignment horizontal="center" vertical="center"/>
    </xf>
    <xf numFmtId="0" fontId="18" fillId="0" borderId="9" xfId="10" applyFont="1" applyBorder="1" applyAlignment="1">
      <alignment horizontal="center" vertical="center"/>
    </xf>
    <xf numFmtId="0" fontId="23" fillId="0" borderId="0" xfId="14" applyFont="1" applyAlignment="1">
      <alignment horizontal="center" vertical="center"/>
    </xf>
    <xf numFmtId="0" fontId="23" fillId="0" borderId="18" xfId="10" applyFont="1" applyBorder="1" applyAlignment="1">
      <alignment horizontal="center" vertical="center"/>
    </xf>
    <xf numFmtId="0" fontId="23" fillId="0" borderId="18" xfId="10" applyFont="1" applyBorder="1" applyAlignment="1">
      <alignment horizontal="left" vertical="center" wrapText="1"/>
    </xf>
    <xf numFmtId="0" fontId="23" fillId="0" borderId="18" xfId="10" applyFont="1" applyBorder="1" applyAlignment="1">
      <alignment horizontal="left" vertical="center"/>
    </xf>
    <xf numFmtId="0" fontId="18" fillId="0" borderId="18" xfId="10" applyFont="1" applyBorder="1" applyAlignment="1">
      <alignment vertical="center" wrapText="1"/>
    </xf>
    <xf numFmtId="2" fontId="23" fillId="0" borderId="18" xfId="10" applyNumberFormat="1" applyFont="1" applyBorder="1" applyAlignment="1">
      <alignment horizontal="center" vertical="center"/>
    </xf>
    <xf numFmtId="0" fontId="11" fillId="0" borderId="18" xfId="10" applyFont="1" applyFill="1" applyBorder="1" applyAlignment="1">
      <alignment horizontal="left" vertical="center" wrapText="1"/>
    </xf>
    <xf numFmtId="2" fontId="37" fillId="0" borderId="18" xfId="10" applyNumberFormat="1" applyFont="1" applyFill="1" applyBorder="1" applyAlignment="1">
      <alignment horizontal="center" vertical="center" wrapText="1"/>
    </xf>
    <xf numFmtId="0" fontId="11" fillId="0" borderId="18" xfId="10" applyFont="1" applyFill="1" applyBorder="1" applyAlignment="1">
      <alignment horizontal="center" vertical="center"/>
    </xf>
    <xf numFmtId="0" fontId="11" fillId="0" borderId="18" xfId="10" applyFont="1" applyFill="1" applyBorder="1" applyAlignment="1">
      <alignment horizontal="left" vertical="top" wrapText="1"/>
    </xf>
    <xf numFmtId="0" fontId="11" fillId="0" borderId="18" xfId="10" applyFont="1" applyFill="1" applyBorder="1" applyAlignment="1">
      <alignment horizontal="center" vertical="center" wrapText="1"/>
    </xf>
    <xf numFmtId="0" fontId="11" fillId="0" borderId="18" xfId="10" applyFont="1" applyFill="1" applyBorder="1" applyAlignment="1">
      <alignment vertical="top" wrapText="1"/>
    </xf>
    <xf numFmtId="0" fontId="11" fillId="0" borderId="18" xfId="10" applyFont="1" applyFill="1" applyBorder="1" applyAlignment="1">
      <alignment horizontal="center" vertical="top" wrapText="1"/>
    </xf>
    <xf numFmtId="0" fontId="26" fillId="0" borderId="18" xfId="202" applyFont="1" applyBorder="1" applyAlignment="1">
      <alignment horizontal="left" vertical="top" wrapText="1"/>
    </xf>
    <xf numFmtId="0" fontId="11" fillId="0" borderId="18" xfId="10" applyFont="1" applyFill="1" applyBorder="1" applyAlignment="1">
      <alignment vertical="center" wrapText="1"/>
    </xf>
    <xf numFmtId="0" fontId="11" fillId="0" borderId="18" xfId="10" applyFont="1" applyBorder="1" applyAlignment="1">
      <alignment horizontal="center" vertical="top" wrapText="1"/>
    </xf>
    <xf numFmtId="0" fontId="18" fillId="0" borderId="8" xfId="10" applyFont="1" applyBorder="1" applyAlignment="1">
      <alignment horizontal="center" vertical="center"/>
    </xf>
    <xf numFmtId="0" fontId="0" fillId="0" borderId="8" xfId="0" applyBorder="1" applyAlignment="1">
      <alignment horizontal="center" vertical="center" wrapText="1"/>
    </xf>
    <xf numFmtId="0" fontId="0" fillId="0" borderId="8" xfId="0" applyBorder="1" applyAlignment="1">
      <alignment horizontal="left" vertical="top" wrapText="1"/>
    </xf>
    <xf numFmtId="0" fontId="37" fillId="0" borderId="18" xfId="0" applyFont="1" applyBorder="1" applyAlignment="1">
      <alignment horizontal="center" vertical="center" wrapText="1"/>
    </xf>
    <xf numFmtId="2" fontId="37" fillId="0" borderId="18" xfId="0" applyNumberFormat="1" applyFont="1" applyBorder="1" applyAlignment="1">
      <alignment horizontal="center" vertical="center" wrapText="1"/>
    </xf>
    <xf numFmtId="0" fontId="0" fillId="0" borderId="8" xfId="0" applyBorder="1" applyAlignment="1">
      <alignment horizontal="justify" vertical="top" wrapText="1"/>
    </xf>
    <xf numFmtId="0" fontId="18" fillId="0" borderId="7" xfId="10" applyFont="1" applyBorder="1" applyAlignment="1">
      <alignment horizontal="center" vertical="center"/>
    </xf>
    <xf numFmtId="0" fontId="0" fillId="0" borderId="7" xfId="0" applyBorder="1" applyAlignment="1">
      <alignment horizontal="center" vertical="center" wrapText="1"/>
    </xf>
    <xf numFmtId="0" fontId="0" fillId="0" borderId="7" xfId="0" applyBorder="1" applyAlignment="1">
      <alignment horizontal="left" vertical="top" wrapText="1"/>
    </xf>
    <xf numFmtId="0" fontId="0" fillId="0" borderId="10" xfId="0" applyBorder="1" applyAlignment="1">
      <alignment horizontal="justify" vertical="top" wrapText="1"/>
    </xf>
  </cellXfs>
  <cellStyles count="470">
    <cellStyle name="Body" xfId="1"/>
    <cellStyle name="Comma" xfId="70" builtinId="3"/>
    <cellStyle name="Comma  - Style1" xfId="2"/>
    <cellStyle name="Comma 10" xfId="94"/>
    <cellStyle name="Comma 10 2" xfId="95"/>
    <cellStyle name="Comma 10 3" xfId="251"/>
    <cellStyle name="Comma 10 4" xfId="264"/>
    <cellStyle name="Comma 11" xfId="96"/>
    <cellStyle name="Comma 11 2" xfId="19"/>
    <cellStyle name="Comma 11 2 10" xfId="435"/>
    <cellStyle name="Comma 11 2 2" xfId="97"/>
    <cellStyle name="Comma 11 2 2 2" xfId="98"/>
    <cellStyle name="Comma 11 2 2 3" xfId="92"/>
    <cellStyle name="Comma 11 2 2 4" xfId="347"/>
    <cellStyle name="Comma 11 2 2 5" xfId="366"/>
    <cellStyle name="Comma 11 2 2 6" xfId="384"/>
    <cellStyle name="Comma 11 2 2 7" xfId="400"/>
    <cellStyle name="Comma 11 2 2 8" xfId="416"/>
    <cellStyle name="Comma 11 2 3" xfId="208"/>
    <cellStyle name="Comma 11 2 4" xfId="348"/>
    <cellStyle name="Comma 11 2 5" xfId="357"/>
    <cellStyle name="Comma 11 2 6" xfId="375"/>
    <cellStyle name="Comma 11 2 7" xfId="393"/>
    <cellStyle name="Comma 11 2 8" xfId="409"/>
    <cellStyle name="Comma 11 2 9" xfId="71"/>
    <cellStyle name="Comma 11 2_F2.1" xfId="459"/>
    <cellStyle name="Comma 12" xfId="99"/>
    <cellStyle name="Comma 13" xfId="100"/>
    <cellStyle name="Comma 14" xfId="101"/>
    <cellStyle name="Comma 15" xfId="102"/>
    <cellStyle name="Comma 15 2" xfId="103"/>
    <cellStyle name="Comma 15 2 2" xfId="104"/>
    <cellStyle name="Comma 15 2 2 2" xfId="105"/>
    <cellStyle name="Comma 15 2 2 3" xfId="248"/>
    <cellStyle name="Comma 15 2 2 4" xfId="261"/>
    <cellStyle name="Comma 15 2 3" xfId="106"/>
    <cellStyle name="Comma 15 2 4" xfId="107"/>
    <cellStyle name="Comma 15 2 5" xfId="108"/>
    <cellStyle name="Comma 15 2 6" xfId="109"/>
    <cellStyle name="Comma 15 2 7" xfId="110"/>
    <cellStyle name="Comma 15 2 8" xfId="111"/>
    <cellStyle name="Comma 15 3" xfId="112"/>
    <cellStyle name="Comma 15 4" xfId="113"/>
    <cellStyle name="Comma 15 5" xfId="114"/>
    <cellStyle name="Comma 15 6" xfId="115"/>
    <cellStyle name="Comma 15 7" xfId="116"/>
    <cellStyle name="Comma 15 8" xfId="117"/>
    <cellStyle name="Comma 16" xfId="118"/>
    <cellStyle name="Comma 16 2" xfId="119"/>
    <cellStyle name="Comma 16 3" xfId="120"/>
    <cellStyle name="Comma 16 4" xfId="121"/>
    <cellStyle name="Comma 16 5" xfId="122"/>
    <cellStyle name="Comma 16 6" xfId="123"/>
    <cellStyle name="Comma 16 7" xfId="124"/>
    <cellStyle name="Comma 16 8" xfId="125"/>
    <cellStyle name="Comma 17" xfId="126"/>
    <cellStyle name="Comma 18" xfId="127"/>
    <cellStyle name="Comma 18 2" xfId="128"/>
    <cellStyle name="Comma 18 2 2" xfId="129"/>
    <cellStyle name="Comma 19" xfId="130"/>
    <cellStyle name="Comma 2" xfId="24"/>
    <cellStyle name="Comma 2 10" xfId="247"/>
    <cellStyle name="Comma 2 11" xfId="260"/>
    <cellStyle name="Comma 2 12" xfId="285"/>
    <cellStyle name="Comma 2 13" xfId="327"/>
    <cellStyle name="Comma 2 14" xfId="280"/>
    <cellStyle name="Comma 2 15" xfId="367"/>
    <cellStyle name="Comma 2 16" xfId="385"/>
    <cellStyle name="Comma 2 17" xfId="401"/>
    <cellStyle name="Comma 2 18" xfId="72"/>
    <cellStyle name="Comma 2 2" xfId="25"/>
    <cellStyle name="Comma 2 2 10" xfId="325"/>
    <cellStyle name="Comma 2 2 11" xfId="282"/>
    <cellStyle name="Comma 2 2 12" xfId="331"/>
    <cellStyle name="Comma 2 2 13" xfId="276"/>
    <cellStyle name="Comma 2 2 14" xfId="336"/>
    <cellStyle name="Comma 2 2 15" xfId="73"/>
    <cellStyle name="Comma 2 2 2" xfId="62"/>
    <cellStyle name="Comma 2 2 2 2" xfId="133"/>
    <cellStyle name="Comma 2 2 2 3" xfId="287"/>
    <cellStyle name="Comma 2 2 2 4" xfId="324"/>
    <cellStyle name="Comma 2 2 2 5" xfId="283"/>
    <cellStyle name="Comma 2 2 2 6" xfId="330"/>
    <cellStyle name="Comma 2 2 2 7" xfId="277"/>
    <cellStyle name="Comma 2 2 2 8" xfId="334"/>
    <cellStyle name="Comma 2 2 3" xfId="132"/>
    <cellStyle name="Comma 2 2 4" xfId="135"/>
    <cellStyle name="Comma 2 2 5" xfId="136"/>
    <cellStyle name="Comma 2 2 6" xfId="137"/>
    <cellStyle name="Comma 2 2 7" xfId="138"/>
    <cellStyle name="Comma 2 2 8" xfId="139"/>
    <cellStyle name="Comma 2 2 9" xfId="286"/>
    <cellStyle name="Comma 2 2_F2.1" xfId="467"/>
    <cellStyle name="Comma 2 3" xfId="26"/>
    <cellStyle name="Comma 2 3 2" xfId="140"/>
    <cellStyle name="Comma 2 3 3" xfId="295"/>
    <cellStyle name="Comma 2 3 4" xfId="312"/>
    <cellStyle name="Comma 2 3 5" xfId="298"/>
    <cellStyle name="Comma 2 3 6" xfId="311"/>
    <cellStyle name="Comma 2 3 7" xfId="299"/>
    <cellStyle name="Comma 2 3 8" xfId="310"/>
    <cellStyle name="Comma 2 3 9" xfId="74"/>
    <cellStyle name="Comma 2 4" xfId="55"/>
    <cellStyle name="Comma 2 4 2" xfId="141"/>
    <cellStyle name="Comma 2 4 3" xfId="296"/>
    <cellStyle name="Comma 2 4 4" xfId="365"/>
    <cellStyle name="Comma 2 4 5" xfId="383"/>
    <cellStyle name="Comma 2 4 6" xfId="399"/>
    <cellStyle name="Comma 2 4 7" xfId="415"/>
    <cellStyle name="Comma 2 4 8" xfId="428"/>
    <cellStyle name="Comma 2 5" xfId="131"/>
    <cellStyle name="Comma 2 6" xfId="143"/>
    <cellStyle name="Comma 2 7" xfId="144"/>
    <cellStyle name="Comma 2 8" xfId="145"/>
    <cellStyle name="Comma 2 9" xfId="146"/>
    <cellStyle name="Comma 2_F2.1" xfId="460"/>
    <cellStyle name="Comma 20" xfId="147"/>
    <cellStyle name="Comma 21" xfId="148"/>
    <cellStyle name="Comma 22" xfId="149"/>
    <cellStyle name="Comma 23" xfId="150"/>
    <cellStyle name="Comma 24" xfId="151"/>
    <cellStyle name="Comma 25" xfId="152"/>
    <cellStyle name="Comma 26" xfId="153"/>
    <cellStyle name="Comma 27" xfId="154"/>
    <cellStyle name="Comma 28" xfId="155"/>
    <cellStyle name="Comma 29" xfId="156"/>
    <cellStyle name="Comma 3" xfId="27"/>
    <cellStyle name="Comma 3 10" xfId="75"/>
    <cellStyle name="Comma 3 2" xfId="61"/>
    <cellStyle name="Comma 3 2 2" xfId="76"/>
    <cellStyle name="Comma 3 2 3" xfId="436"/>
    <cellStyle name="Comma 3 2_F2.1" xfId="468"/>
    <cellStyle name="Comma 3 3" xfId="157"/>
    <cellStyle name="Comma 3 4" xfId="301"/>
    <cellStyle name="Comma 3 5" xfId="361"/>
    <cellStyle name="Comma 3 6" xfId="379"/>
    <cellStyle name="Comma 3 7" xfId="396"/>
    <cellStyle name="Comma 3 8" xfId="412"/>
    <cellStyle name="Comma 3 9" xfId="426"/>
    <cellStyle name="Comma 3_F2.1" xfId="461"/>
    <cellStyle name="Comma 30" xfId="158"/>
    <cellStyle name="Comma 31" xfId="159"/>
    <cellStyle name="Comma 32" xfId="160"/>
    <cellStyle name="Comma 33" xfId="161"/>
    <cellStyle name="Comma 34" xfId="162"/>
    <cellStyle name="Comma 35" xfId="163"/>
    <cellStyle name="Comma 36" xfId="164"/>
    <cellStyle name="Comma 37" xfId="165"/>
    <cellStyle name="Comma 38" xfId="249"/>
    <cellStyle name="Comma 39" xfId="254"/>
    <cellStyle name="Comma 4" xfId="28"/>
    <cellStyle name="Comma 4 10" xfId="77"/>
    <cellStyle name="Comma 4 2" xfId="63"/>
    <cellStyle name="Comma 4 2 10" xfId="437"/>
    <cellStyle name="Comma 4 2 2" xfId="167"/>
    <cellStyle name="Comma 4 2 3" xfId="305"/>
    <cellStyle name="Comma 4 2 4" xfId="359"/>
    <cellStyle name="Comma 4 2 5" xfId="377"/>
    <cellStyle name="Comma 4 2 6" xfId="395"/>
    <cellStyle name="Comma 4 2 7" xfId="411"/>
    <cellStyle name="Comma 4 2 8" xfId="425"/>
    <cellStyle name="Comma 4 2 9" xfId="78"/>
    <cellStyle name="Comma 4 3" xfId="168"/>
    <cellStyle name="Comma 4 4" xfId="169"/>
    <cellStyle name="Comma 4 5" xfId="170"/>
    <cellStyle name="Comma 4 6" xfId="171"/>
    <cellStyle name="Comma 4 7" xfId="172"/>
    <cellStyle name="Comma 4 8" xfId="173"/>
    <cellStyle name="Comma 4 9" xfId="174"/>
    <cellStyle name="Comma 4_F2.1" xfId="469"/>
    <cellStyle name="Comma 40" xfId="256"/>
    <cellStyle name="Comma 41" xfId="258"/>
    <cellStyle name="Comma 42" xfId="262"/>
    <cellStyle name="Comma 43" xfId="266"/>
    <cellStyle name="Comma 44" xfId="451"/>
    <cellStyle name="Comma 45" xfId="453"/>
    <cellStyle name="Comma 46" xfId="455"/>
    <cellStyle name="Comma 47" xfId="457"/>
    <cellStyle name="Comma 48" xfId="458"/>
    <cellStyle name="Comma 49" xfId="421"/>
    <cellStyle name="Comma 5" xfId="29"/>
    <cellStyle name="Comma 5 10" xfId="176"/>
    <cellStyle name="Comma 5 11" xfId="308"/>
    <cellStyle name="Comma 5 12" xfId="302"/>
    <cellStyle name="Comma 5 13" xfId="307"/>
    <cellStyle name="Comma 5 14" xfId="303"/>
    <cellStyle name="Comma 5 15" xfId="306"/>
    <cellStyle name="Comma 5 16" xfId="304"/>
    <cellStyle name="Comma 5 17" xfId="79"/>
    <cellStyle name="Comma 5 18" xfId="438"/>
    <cellStyle name="Comma 5 2" xfId="175"/>
    <cellStyle name="Comma 5 2 2" xfId="177"/>
    <cellStyle name="Comma 5 2 3" xfId="309"/>
    <cellStyle name="Comma 5 2 4" xfId="300"/>
    <cellStyle name="Comma 5 2 5" xfId="364"/>
    <cellStyle name="Comma 5 2 6" xfId="382"/>
    <cellStyle name="Comma 5 2 7" xfId="398"/>
    <cellStyle name="Comma 5 2 8" xfId="414"/>
    <cellStyle name="Comma 5 3" xfId="178"/>
    <cellStyle name="Comma 5 3 2" xfId="179"/>
    <cellStyle name="Comma 5 3 3" xfId="180"/>
    <cellStyle name="Comma 5 3 4" xfId="181"/>
    <cellStyle name="Comma 5 3 5" xfId="182"/>
    <cellStyle name="Comma 5 3 6" xfId="183"/>
    <cellStyle name="Comma 5 3 7" xfId="184"/>
    <cellStyle name="Comma 5 3 8" xfId="185"/>
    <cellStyle name="Comma 5 4" xfId="186"/>
    <cellStyle name="Comma 5 4 2" xfId="187"/>
    <cellStyle name="Comma 5 4 2 2" xfId="188"/>
    <cellStyle name="Comma 5 4 2 3" xfId="250"/>
    <cellStyle name="Comma 5 4 2 4" xfId="263"/>
    <cellStyle name="Comma 5 5" xfId="189"/>
    <cellStyle name="Comma 5 6" xfId="190"/>
    <cellStyle name="Comma 5 7" xfId="191"/>
    <cellStyle name="Comma 5 8" xfId="192"/>
    <cellStyle name="Comma 5 9" xfId="193"/>
    <cellStyle name="Comma 6" xfId="47"/>
    <cellStyle name="Comma 6 2" xfId="48"/>
    <cellStyle name="Comma 6 3" xfId="49"/>
    <cellStyle name="Comma 6 4" xfId="50"/>
    <cellStyle name="Comma 6 5" xfId="80"/>
    <cellStyle name="Comma 7" xfId="21"/>
    <cellStyle name="Comma 7 2" xfId="195"/>
    <cellStyle name="Comma 7 3" xfId="317"/>
    <cellStyle name="Comma 7 4" xfId="291"/>
    <cellStyle name="Comma 7 5" xfId="315"/>
    <cellStyle name="Comma 7 6" xfId="293"/>
    <cellStyle name="Comma 7 7" xfId="313"/>
    <cellStyle name="Comma 7 8" xfId="297"/>
    <cellStyle name="Comma 8" xfId="64"/>
    <cellStyle name="Comma 8 10" xfId="439"/>
    <cellStyle name="Comma 8 2" xfId="196"/>
    <cellStyle name="Comma 8 3" xfId="318"/>
    <cellStyle name="Comma 8 4" xfId="290"/>
    <cellStyle name="Comma 8 5" xfId="316"/>
    <cellStyle name="Comma 8 6" xfId="292"/>
    <cellStyle name="Comma 8 7" xfId="314"/>
    <cellStyle name="Comma 8 8" xfId="294"/>
    <cellStyle name="Comma 8 9" xfId="81"/>
    <cellStyle name="Comma 9" xfId="93"/>
    <cellStyle name="Comma 9 2" xfId="197"/>
    <cellStyle name="Comma 9 3" xfId="319"/>
    <cellStyle name="Comma 9 4" xfId="289"/>
    <cellStyle name="Comma 9 5" xfId="320"/>
    <cellStyle name="Comma 9 6" xfId="288"/>
    <cellStyle name="Comma 9 7" xfId="242"/>
    <cellStyle name="Comma 9 8" xfId="353"/>
    <cellStyle name="Curren - Style2" xfId="3"/>
    <cellStyle name="Grey" xfId="4"/>
    <cellStyle name="Header1" xfId="5"/>
    <cellStyle name="Header2" xfId="6"/>
    <cellStyle name="Hyperlink 2" xfId="198"/>
    <cellStyle name="Input [yellow]" xfId="7"/>
    <cellStyle name="no dec" xfId="8"/>
    <cellStyle name="Normal" xfId="0" builtinId="0"/>
    <cellStyle name="Normal - Style1" xfId="9"/>
    <cellStyle name="Normal 10" xfId="66"/>
    <cellStyle name="Normal 10 10" xfId="440"/>
    <cellStyle name="Normal 10 2" xfId="199"/>
    <cellStyle name="Normal 10 3" xfId="321"/>
    <cellStyle name="Normal 10 4" xfId="363"/>
    <cellStyle name="Normal 10 5" xfId="381"/>
    <cellStyle name="Normal 10 6" xfId="397"/>
    <cellStyle name="Normal 10 7" xfId="413"/>
    <cellStyle name="Normal 10 8" xfId="427"/>
    <cellStyle name="Normal 10 9" xfId="82"/>
    <cellStyle name="Normal 11" xfId="68"/>
    <cellStyle name="Normal 11 10" xfId="441"/>
    <cellStyle name="Normal 11 2" xfId="200"/>
    <cellStyle name="Normal 11 3" xfId="322"/>
    <cellStyle name="Normal 11 4" xfId="356"/>
    <cellStyle name="Normal 11 5" xfId="374"/>
    <cellStyle name="Normal 11 6" xfId="392"/>
    <cellStyle name="Normal 11 7" xfId="408"/>
    <cellStyle name="Normal 11 8" xfId="424"/>
    <cellStyle name="Normal 11 9" xfId="83"/>
    <cellStyle name="Normal 12" xfId="69"/>
    <cellStyle name="Normal 12 10" xfId="442"/>
    <cellStyle name="Normal 12 2" xfId="201"/>
    <cellStyle name="Normal 12 3" xfId="323"/>
    <cellStyle name="Normal 12 4" xfId="284"/>
    <cellStyle name="Normal 12 5" xfId="328"/>
    <cellStyle name="Normal 12 6" xfId="279"/>
    <cellStyle name="Normal 12 7" xfId="332"/>
    <cellStyle name="Normal 12 8" xfId="275"/>
    <cellStyle name="Normal 12 9" xfId="84"/>
    <cellStyle name="Normal 13" xfId="202"/>
    <cellStyle name="Normal 14" xfId="203"/>
    <cellStyle name="Normal 14 2" xfId="67"/>
    <cellStyle name="Normal 14 2 2" xfId="85"/>
    <cellStyle name="Normal 14 2 3" xfId="443"/>
    <cellStyle name="Normal 14 2_F2.1" xfId="463"/>
    <cellStyle name="Normal 15" xfId="18"/>
    <cellStyle name="Normal 15 10" xfId="444"/>
    <cellStyle name="Normal 15 2" xfId="204"/>
    <cellStyle name="Normal 15 3" xfId="326"/>
    <cellStyle name="Normal 15 4" xfId="281"/>
    <cellStyle name="Normal 15 5" xfId="358"/>
    <cellStyle name="Normal 15 6" xfId="376"/>
    <cellStyle name="Normal 15 7" xfId="394"/>
    <cellStyle name="Normal 15 8" xfId="410"/>
    <cellStyle name="Normal 15 9" xfId="86"/>
    <cellStyle name="Normal 16" xfId="205"/>
    <cellStyle name="Normal 17" xfId="206"/>
    <cellStyle name="Normal 18" xfId="60"/>
    <cellStyle name="Normal 18 10" xfId="445"/>
    <cellStyle name="Normal 18 2" xfId="207"/>
    <cellStyle name="Normal 18 2 2" xfId="209"/>
    <cellStyle name="Normal 18 2 3" xfId="252"/>
    <cellStyle name="Normal 18 2 4" xfId="265"/>
    <cellStyle name="Normal 18 3" xfId="329"/>
    <cellStyle name="Normal 18 4" xfId="278"/>
    <cellStyle name="Normal 18 5" xfId="333"/>
    <cellStyle name="Normal 18 6" xfId="274"/>
    <cellStyle name="Normal 18 7" xfId="337"/>
    <cellStyle name="Normal 18 8" xfId="272"/>
    <cellStyle name="Normal 18 9" xfId="87"/>
    <cellStyle name="Normal 19" xfId="210"/>
    <cellStyle name="Normal 2" xfId="10"/>
    <cellStyle name="Normal 2 2" xfId="11"/>
    <cellStyle name="Normal 2 2 2" xfId="30"/>
    <cellStyle name="Normal 2 2 2 2" xfId="56"/>
    <cellStyle name="Normal 2 2_F2.1" xfId="464"/>
    <cellStyle name="Normal 2 3" xfId="12"/>
    <cellStyle name="Normal 2 3 2" xfId="213"/>
    <cellStyle name="Normal 2 3 3" xfId="335"/>
    <cellStyle name="Normal 2 3 4" xfId="273"/>
    <cellStyle name="Normal 2 3 5" xfId="338"/>
    <cellStyle name="Normal 2 3 6" xfId="271"/>
    <cellStyle name="Normal 2 3 7" xfId="339"/>
    <cellStyle name="Normal 2 3 8" xfId="270"/>
    <cellStyle name="Normal 2 4" xfId="51"/>
    <cellStyle name="Normal 2_ARR FINAL" xfId="31"/>
    <cellStyle name="Normal 20" xfId="214"/>
    <cellStyle name="Normal 21" xfId="215"/>
    <cellStyle name="Normal 22" xfId="216"/>
    <cellStyle name="Normal 23" xfId="217"/>
    <cellStyle name="Normal 24" xfId="218"/>
    <cellStyle name="Normal 25" xfId="219"/>
    <cellStyle name="Normal 26" xfId="220"/>
    <cellStyle name="Normal 27" xfId="221"/>
    <cellStyle name="Normal 28" xfId="222"/>
    <cellStyle name="Normal 29" xfId="223"/>
    <cellStyle name="Normal 3" xfId="13"/>
    <cellStyle name="Normal 3 10" xfId="269"/>
    <cellStyle name="Normal 3 11" xfId="342"/>
    <cellStyle name="Normal 3 12" xfId="134"/>
    <cellStyle name="Normal 3 13" xfId="360"/>
    <cellStyle name="Normal 3 14" xfId="378"/>
    <cellStyle name="Normal 3 2" xfId="32"/>
    <cellStyle name="Normal 3 2 2" xfId="57"/>
    <cellStyle name="Normal 3 2 3" xfId="225"/>
    <cellStyle name="Normal 3 2 4" xfId="341"/>
    <cellStyle name="Normal 3 2 5" xfId="268"/>
    <cellStyle name="Normal 3 2 6" xfId="343"/>
    <cellStyle name="Normal 3 2 7" xfId="142"/>
    <cellStyle name="Normal 3 2 8" xfId="362"/>
    <cellStyle name="Normal 3 2 9" xfId="380"/>
    <cellStyle name="Normal 3 3" xfId="224"/>
    <cellStyle name="Normal 3 4" xfId="226"/>
    <cellStyle name="Normal 3 5" xfId="227"/>
    <cellStyle name="Normal 3 6" xfId="228"/>
    <cellStyle name="Normal 3 7" xfId="229"/>
    <cellStyle name="Normal 3 8" xfId="230"/>
    <cellStyle name="Normal 3 9" xfId="340"/>
    <cellStyle name="Normal 30" xfId="231"/>
    <cellStyle name="Normal 31" xfId="246"/>
    <cellStyle name="Normal 32" xfId="253"/>
    <cellStyle name="Normal 33" xfId="255"/>
    <cellStyle name="Normal 34" xfId="257"/>
    <cellStyle name="Normal 35" xfId="259"/>
    <cellStyle name="Normal 36" xfId="267"/>
    <cellStyle name="Normal 37" xfId="434"/>
    <cellStyle name="Normal 38" xfId="450"/>
    <cellStyle name="Normal 39" xfId="22"/>
    <cellStyle name="Normal 4" xfId="33"/>
    <cellStyle name="Normal 4 10" xfId="166"/>
    <cellStyle name="Normal 4 11" xfId="368"/>
    <cellStyle name="Normal 4 12" xfId="386"/>
    <cellStyle name="Normal 4 13" xfId="402"/>
    <cellStyle name="Normal 4 14" xfId="417"/>
    <cellStyle name="Normal 4 2" xfId="58"/>
    <cellStyle name="Normal 4 2 2" xfId="233"/>
    <cellStyle name="Normal 4 2 3" xfId="345"/>
    <cellStyle name="Normal 4 2 4" xfId="194"/>
    <cellStyle name="Normal 4 2 5" xfId="346"/>
    <cellStyle name="Normal 4 2 6" xfId="211"/>
    <cellStyle name="Normal 4 2 7" xfId="349"/>
    <cellStyle name="Normal 4 2 8" xfId="212"/>
    <cellStyle name="Normal 4 3" xfId="232"/>
    <cellStyle name="Normal 4 4" xfId="234"/>
    <cellStyle name="Normal 4 5" xfId="235"/>
    <cellStyle name="Normal 4 6" xfId="236"/>
    <cellStyle name="Normal 4 7" xfId="237"/>
    <cellStyle name="Normal 4 8" xfId="238"/>
    <cellStyle name="Normal 4 9" xfId="344"/>
    <cellStyle name="Normal 40" xfId="452"/>
    <cellStyle name="Normal 41" xfId="454"/>
    <cellStyle name="Normal 42" xfId="456"/>
    <cellStyle name="Normal 5" xfId="34"/>
    <cellStyle name="Normal 5 10" xfId="88"/>
    <cellStyle name="Normal 5 11" xfId="446"/>
    <cellStyle name="Normal 5 2" xfId="35"/>
    <cellStyle name="Normal 5 3" xfId="239"/>
    <cellStyle name="Normal 5 4" xfId="350"/>
    <cellStyle name="Normal 5 5" xfId="369"/>
    <cellStyle name="Normal 5 6" xfId="387"/>
    <cellStyle name="Normal 5 7" xfId="403"/>
    <cellStyle name="Normal 5 8" xfId="418"/>
    <cellStyle name="Normal 5 9" xfId="429"/>
    <cellStyle name="Normal 6" xfId="36"/>
    <cellStyle name="Normal 6 2" xfId="240"/>
    <cellStyle name="Normal 6 3" xfId="351"/>
    <cellStyle name="Normal 6 4" xfId="370"/>
    <cellStyle name="Normal 6 5" xfId="388"/>
    <cellStyle name="Normal 6 6" xfId="404"/>
    <cellStyle name="Normal 6 7" xfId="419"/>
    <cellStyle name="Normal 6 8" xfId="430"/>
    <cellStyle name="Normal 7" xfId="37"/>
    <cellStyle name="Normal 7 10" xfId="447"/>
    <cellStyle name="Normal 7 2" xfId="241"/>
    <cellStyle name="Normal 7 2 2" xfId="243"/>
    <cellStyle name="Normal 7 3" xfId="352"/>
    <cellStyle name="Normal 7 4" xfId="371"/>
    <cellStyle name="Normal 7 5" xfId="389"/>
    <cellStyle name="Normal 7 6" xfId="405"/>
    <cellStyle name="Normal 7 7" xfId="420"/>
    <cellStyle name="Normal 7 8" xfId="431"/>
    <cellStyle name="Normal 7 9" xfId="89"/>
    <cellStyle name="Normal 8" xfId="52"/>
    <cellStyle name="Normal 8 2" xfId="244"/>
    <cellStyle name="Normal 8 3" xfId="354"/>
    <cellStyle name="Normal 8 4" xfId="372"/>
    <cellStyle name="Normal 8 5" xfId="390"/>
    <cellStyle name="Normal 8 6" xfId="406"/>
    <cellStyle name="Normal 8 7" xfId="422"/>
    <cellStyle name="Normal 8 8" xfId="432"/>
    <cellStyle name="Normal 9" xfId="53"/>
    <cellStyle name="Normal 9 2" xfId="245"/>
    <cellStyle name="Normal 9 3" xfId="355"/>
    <cellStyle name="Normal 9 4" xfId="373"/>
    <cellStyle name="Normal 9 5" xfId="391"/>
    <cellStyle name="Normal 9 6" xfId="407"/>
    <cellStyle name="Normal 9 7" xfId="423"/>
    <cellStyle name="Normal 9 8" xfId="433"/>
    <cellStyle name="Normal_F2.1" xfId="462"/>
    <cellStyle name="Normal_F2.2" xfId="465"/>
    <cellStyle name="Normal_F2.3" xfId="466"/>
    <cellStyle name="Normal_FORMATS 5 YEAR ALOKE 2" xfId="14"/>
    <cellStyle name="Percent [0]_#6 Temps &amp; Contractors" xfId="15"/>
    <cellStyle name="Percent [2]" xfId="16"/>
    <cellStyle name="Percent 2" xfId="38"/>
    <cellStyle name="Percent 2 2" xfId="39"/>
    <cellStyle name="Percent 2 3" xfId="59"/>
    <cellStyle name="Percent 3" xfId="40"/>
    <cellStyle name="Percent 3 2" xfId="41"/>
    <cellStyle name="Percent 4" xfId="23"/>
    <cellStyle name="Percent 41" xfId="20"/>
    <cellStyle name="Percent 41 2" xfId="90"/>
    <cellStyle name="Percent 41 3" xfId="448"/>
    <cellStyle name="Percent 5" xfId="42"/>
    <cellStyle name="Percent 5 2" xfId="43"/>
    <cellStyle name="Percent 5 3" xfId="44"/>
    <cellStyle name="Percent 6" xfId="45"/>
    <cellStyle name="Percent 6 2" xfId="46"/>
    <cellStyle name="Percent 7" xfId="65"/>
    <cellStyle name="Percent 7 2" xfId="91"/>
    <cellStyle name="Percent 7 3" xfId="449"/>
    <cellStyle name="Style 1" xfId="17"/>
    <cellStyle name="Style 2" xfId="54"/>
  </cellStyles>
  <dxfs count="0"/>
  <tableStyles count="0" defaultTableStyle="TableStyleMedium9" defaultPivotStyle="PivotStyleLight16"/>
  <colors>
    <mruColors>
      <color rgb="FFFBCB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ech1\EMAIL\Performance\PERFORMANCE\ocm\Yearly_perf\OCMJAN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ser21\shared%20doc\ARR%202.6%20REV\Performance\PERFORMANCE\ocm\Yearly_perf\OCMJAN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Performance\PERFORMANCE\ocm\Yearly_perf\OCMJAN20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2000-01"/>
      <sheetName val="04REL"/>
      <sheetName val="Inputs &amp; Assumptions"/>
      <sheetName val="Daily_input"/>
      <sheetName val="Daily_report"/>
      <sheetName val="Title"/>
      <sheetName val="CAPI_01-02"/>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sheetData sheetId="18"/>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Assumptions"/>
      <sheetName val="A 3.7"/>
      <sheetName val="water_bal"/>
      <sheetName val="Daily_input"/>
      <sheetName val="Daily_report"/>
      <sheetName val="A_3_7"/>
      <sheetName val="Clause 9"/>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sheetData sheetId="19"/>
      <sheetData sheetId="20"/>
      <sheetData sheetId="2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04REL"/>
      <sheetName val="Daily_input"/>
      <sheetName val="Daily_report"/>
      <sheetName val="Instruction Sheet"/>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sheetData sheetId="17"/>
      <sheetData sheetId="1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6"/>
  <sheetViews>
    <sheetView showGridLines="0" zoomScale="80" zoomScaleNormal="80" zoomScaleSheetLayoutView="80" workbookViewId="0">
      <selection activeCell="G10" sqref="G10"/>
    </sheetView>
  </sheetViews>
  <sheetFormatPr defaultColWidth="9.28515625" defaultRowHeight="15" x14ac:dyDescent="0.2"/>
  <cols>
    <col min="1" max="1" width="3.7109375" style="6" customWidth="1"/>
    <col min="2" max="2" width="7.42578125" style="6" customWidth="1"/>
    <col min="3" max="3" width="12.5703125" style="6" customWidth="1"/>
    <col min="4" max="4" width="43.28515625" style="6" customWidth="1"/>
    <col min="5" max="5" width="11.42578125" style="6" customWidth="1"/>
    <col min="6" max="6" width="20.7109375" style="6" customWidth="1"/>
    <col min="7" max="8" width="18.7109375" style="6" customWidth="1"/>
    <col min="9" max="16384" width="9.28515625" style="6"/>
  </cols>
  <sheetData>
    <row r="1" spans="2:8" ht="15.75" x14ac:dyDescent="0.2">
      <c r="B1" s="272" t="s">
        <v>402</v>
      </c>
      <c r="C1" s="272"/>
      <c r="D1" s="273"/>
      <c r="E1" s="273"/>
      <c r="F1" s="1"/>
      <c r="G1" s="1"/>
      <c r="H1" s="1"/>
    </row>
    <row r="2" spans="2:8" ht="15.75" x14ac:dyDescent="0.2">
      <c r="B2" s="272" t="s">
        <v>490</v>
      </c>
      <c r="C2" s="272"/>
      <c r="D2" s="273"/>
      <c r="E2" s="273"/>
      <c r="F2" s="1"/>
      <c r="G2" s="1"/>
      <c r="H2" s="1"/>
    </row>
    <row r="3" spans="2:8" s="10" customFormat="1" ht="15.75" x14ac:dyDescent="0.2">
      <c r="B3" s="274" t="s">
        <v>371</v>
      </c>
      <c r="C3" s="274"/>
      <c r="D3" s="275"/>
      <c r="E3" s="275"/>
      <c r="F3" s="1"/>
      <c r="G3" s="1"/>
      <c r="H3" s="1"/>
    </row>
    <row r="4" spans="2:8" ht="15.75" x14ac:dyDescent="0.2">
      <c r="D4" s="68" t="s">
        <v>373</v>
      </c>
    </row>
    <row r="5" spans="2:8" ht="15.75" x14ac:dyDescent="0.2">
      <c r="B5" s="11" t="s">
        <v>193</v>
      </c>
      <c r="C5" s="11" t="s">
        <v>372</v>
      </c>
      <c r="D5" s="12" t="s">
        <v>7</v>
      </c>
      <c r="E5" s="12" t="s">
        <v>374</v>
      </c>
    </row>
    <row r="6" spans="2:8" x14ac:dyDescent="0.2">
      <c r="B6" s="7">
        <v>1</v>
      </c>
      <c r="C6" s="7" t="s">
        <v>6</v>
      </c>
      <c r="D6" s="170" t="s">
        <v>376</v>
      </c>
      <c r="E6" s="8"/>
    </row>
    <row r="7" spans="2:8" x14ac:dyDescent="0.2">
      <c r="B7" s="7">
        <f>B6+1</f>
        <v>2</v>
      </c>
      <c r="C7" s="7" t="s">
        <v>266</v>
      </c>
      <c r="D7" s="170" t="s">
        <v>378</v>
      </c>
      <c r="E7" s="8"/>
    </row>
    <row r="8" spans="2:8" x14ac:dyDescent="0.2">
      <c r="B8" s="7">
        <f>B7+1</f>
        <v>3</v>
      </c>
      <c r="C8" s="7" t="s">
        <v>24</v>
      </c>
      <c r="D8" s="170" t="s">
        <v>379</v>
      </c>
      <c r="E8" s="8"/>
    </row>
    <row r="9" spans="2:8" x14ac:dyDescent="0.2">
      <c r="B9" s="7">
        <f>B8+1</f>
        <v>4</v>
      </c>
      <c r="C9" s="7" t="s">
        <v>25</v>
      </c>
      <c r="D9" s="170" t="s">
        <v>380</v>
      </c>
      <c r="E9" s="8"/>
    </row>
    <row r="10" spans="2:8" x14ac:dyDescent="0.2">
      <c r="B10" s="7">
        <f>B9+1</f>
        <v>5</v>
      </c>
      <c r="C10" s="7" t="s">
        <v>267</v>
      </c>
      <c r="D10" s="170" t="s">
        <v>381</v>
      </c>
      <c r="E10" s="8"/>
    </row>
    <row r="11" spans="2:8" ht="30" x14ac:dyDescent="0.2">
      <c r="B11" s="7">
        <f t="shared" ref="B11:B26" si="0">B10+1</f>
        <v>6</v>
      </c>
      <c r="C11" s="7" t="s">
        <v>22</v>
      </c>
      <c r="D11" s="170" t="s">
        <v>220</v>
      </c>
      <c r="E11" s="8"/>
    </row>
    <row r="12" spans="2:8" ht="30" x14ac:dyDescent="0.2">
      <c r="B12" s="7">
        <f t="shared" si="0"/>
        <v>7</v>
      </c>
      <c r="C12" s="7" t="s">
        <v>27</v>
      </c>
      <c r="D12" s="170" t="s">
        <v>382</v>
      </c>
      <c r="E12" s="8"/>
    </row>
    <row r="13" spans="2:8" x14ac:dyDescent="0.2">
      <c r="B13" s="7">
        <f t="shared" si="0"/>
        <v>8</v>
      </c>
      <c r="C13" s="7" t="s">
        <v>28</v>
      </c>
      <c r="D13" s="9" t="s">
        <v>190</v>
      </c>
      <c r="E13" s="8"/>
    </row>
    <row r="14" spans="2:8" x14ac:dyDescent="0.2">
      <c r="B14" s="7">
        <f t="shared" si="0"/>
        <v>9</v>
      </c>
      <c r="C14" s="7" t="s">
        <v>23</v>
      </c>
      <c r="D14" s="9" t="s">
        <v>383</v>
      </c>
      <c r="E14" s="8"/>
    </row>
    <row r="15" spans="2:8" x14ac:dyDescent="0.2">
      <c r="B15" s="7">
        <f t="shared" si="0"/>
        <v>10</v>
      </c>
      <c r="C15" s="7" t="s">
        <v>29</v>
      </c>
      <c r="D15" s="170" t="s">
        <v>233</v>
      </c>
      <c r="E15" s="8"/>
    </row>
    <row r="16" spans="2:8" x14ac:dyDescent="0.2">
      <c r="B16" s="7">
        <f t="shared" si="0"/>
        <v>11</v>
      </c>
      <c r="C16" s="7" t="s">
        <v>30</v>
      </c>
      <c r="D16" s="9" t="s">
        <v>288</v>
      </c>
      <c r="E16" s="8"/>
    </row>
    <row r="17" spans="2:5" x14ac:dyDescent="0.2">
      <c r="B17" s="7">
        <f t="shared" si="0"/>
        <v>12</v>
      </c>
      <c r="C17" s="7" t="s">
        <v>31</v>
      </c>
      <c r="D17" s="9" t="s">
        <v>234</v>
      </c>
      <c r="E17" s="8"/>
    </row>
    <row r="18" spans="2:5" x14ac:dyDescent="0.2">
      <c r="B18" s="7">
        <f t="shared" si="0"/>
        <v>13</v>
      </c>
      <c r="C18" s="7" t="s">
        <v>32</v>
      </c>
      <c r="D18" s="9" t="s">
        <v>156</v>
      </c>
      <c r="E18" s="8"/>
    </row>
    <row r="19" spans="2:5" x14ac:dyDescent="0.2">
      <c r="B19" s="7">
        <f t="shared" si="0"/>
        <v>14</v>
      </c>
      <c r="C19" s="7" t="s">
        <v>33</v>
      </c>
      <c r="D19" s="9" t="s">
        <v>26</v>
      </c>
      <c r="E19" s="8"/>
    </row>
    <row r="20" spans="2:5" x14ac:dyDescent="0.2">
      <c r="B20" s="7">
        <f t="shared" si="0"/>
        <v>15</v>
      </c>
      <c r="C20" s="7" t="s">
        <v>34</v>
      </c>
      <c r="D20" s="170" t="s">
        <v>384</v>
      </c>
      <c r="E20" s="8"/>
    </row>
    <row r="21" spans="2:5" ht="30" x14ac:dyDescent="0.2">
      <c r="B21" s="7">
        <f t="shared" si="0"/>
        <v>16</v>
      </c>
      <c r="C21" s="7" t="s">
        <v>35</v>
      </c>
      <c r="D21" s="170" t="s">
        <v>385</v>
      </c>
      <c r="E21" s="8"/>
    </row>
    <row r="22" spans="2:5" x14ac:dyDescent="0.2">
      <c r="B22" s="7">
        <f t="shared" si="0"/>
        <v>17</v>
      </c>
      <c r="C22" s="7" t="s">
        <v>164</v>
      </c>
      <c r="D22" s="170" t="s">
        <v>237</v>
      </c>
      <c r="E22" s="8"/>
    </row>
    <row r="23" spans="2:5" x14ac:dyDescent="0.2">
      <c r="B23" s="7">
        <f t="shared" si="0"/>
        <v>18</v>
      </c>
      <c r="C23" s="7" t="s">
        <v>169</v>
      </c>
      <c r="D23" s="170" t="s">
        <v>386</v>
      </c>
      <c r="E23" s="8"/>
    </row>
    <row r="24" spans="2:5" x14ac:dyDescent="0.2">
      <c r="B24" s="7">
        <f t="shared" si="0"/>
        <v>19</v>
      </c>
      <c r="C24" s="7" t="s">
        <v>375</v>
      </c>
      <c r="D24" s="170" t="s">
        <v>228</v>
      </c>
      <c r="E24" s="8"/>
    </row>
    <row r="25" spans="2:5" x14ac:dyDescent="0.2">
      <c r="B25" s="7">
        <f t="shared" si="0"/>
        <v>20</v>
      </c>
      <c r="C25" s="7" t="s">
        <v>222</v>
      </c>
      <c r="D25" s="170" t="s">
        <v>387</v>
      </c>
      <c r="E25" s="8"/>
    </row>
    <row r="26" spans="2:5" x14ac:dyDescent="0.2">
      <c r="B26" s="7">
        <f t="shared" si="0"/>
        <v>21</v>
      </c>
      <c r="C26" s="7" t="s">
        <v>223</v>
      </c>
      <c r="D26" s="9" t="s">
        <v>388</v>
      </c>
      <c r="E26" s="8"/>
    </row>
  </sheetData>
  <mergeCells count="3">
    <mergeCell ref="B1:E1"/>
    <mergeCell ref="B3:E3"/>
    <mergeCell ref="B2:E2"/>
  </mergeCells>
  <phoneticPr fontId="14" type="noConversion"/>
  <pageMargins left="1.3" right="0.23622047244094499" top="1.1023622047244099" bottom="0.98425196850393704" header="0.23622047244094499" footer="0.23622047244094499"/>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49"/>
  <sheetViews>
    <sheetView zoomScale="93" zoomScaleNormal="93" zoomScaleSheetLayoutView="90" workbookViewId="0">
      <selection activeCell="P41" sqref="P41"/>
    </sheetView>
  </sheetViews>
  <sheetFormatPr defaultColWidth="9.28515625" defaultRowHeight="14.25" x14ac:dyDescent="0.2"/>
  <cols>
    <col min="1" max="1" width="4.28515625" style="5" customWidth="1"/>
    <col min="2" max="2" width="5.140625" style="5" customWidth="1"/>
    <col min="3" max="3" width="23.140625" style="5" customWidth="1"/>
    <col min="4" max="4" width="8.140625" style="5" customWidth="1"/>
    <col min="5" max="5" width="11.28515625" style="5" customWidth="1"/>
    <col min="6" max="6" width="12.42578125" style="5" customWidth="1"/>
    <col min="7" max="7" width="9.5703125" style="5" customWidth="1"/>
    <col min="8" max="8" width="12.28515625" style="5" customWidth="1"/>
    <col min="9" max="9" width="12.140625" style="5" customWidth="1"/>
    <col min="10" max="10" width="14.140625" style="5" customWidth="1"/>
    <col min="11" max="11" width="9.5703125" style="5" customWidth="1"/>
    <col min="12" max="12" width="9.42578125" style="5" customWidth="1"/>
    <col min="13" max="13" width="12.85546875" style="5" customWidth="1"/>
    <col min="14" max="14" width="12.5703125" style="5" customWidth="1"/>
    <col min="15" max="15" width="10.7109375" style="5" customWidth="1"/>
    <col min="16" max="16" width="13.7109375" style="5" bestFit="1" customWidth="1"/>
    <col min="17" max="22" width="11.7109375" style="5" bestFit="1" customWidth="1"/>
    <col min="23" max="16384" width="9.28515625" style="5"/>
  </cols>
  <sheetData>
    <row r="1" spans="2:16" ht="6" customHeight="1" x14ac:dyDescent="0.2">
      <c r="B1" s="24"/>
    </row>
    <row r="2" spans="2:16" ht="15" x14ac:dyDescent="0.2">
      <c r="H2" s="32" t="s">
        <v>403</v>
      </c>
      <c r="I2" s="33"/>
    </row>
    <row r="3" spans="2:16" ht="15" x14ac:dyDescent="0.2">
      <c r="H3" s="32" t="s">
        <v>467</v>
      </c>
      <c r="I3" s="33"/>
    </row>
    <row r="4" spans="2:16" ht="15" x14ac:dyDescent="0.2">
      <c r="H4" s="35" t="s">
        <v>272</v>
      </c>
      <c r="I4" s="35"/>
    </row>
    <row r="5" spans="2:16" ht="10.5" customHeight="1" x14ac:dyDescent="0.2">
      <c r="K5" s="35"/>
      <c r="O5" s="32" t="s">
        <v>4</v>
      </c>
    </row>
    <row r="6" spans="2:16" ht="7.5" customHeight="1" thickBot="1" x14ac:dyDescent="0.25">
      <c r="F6" s="150"/>
      <c r="G6" s="150"/>
      <c r="H6" s="150"/>
      <c r="I6" s="150"/>
      <c r="J6" s="150"/>
      <c r="K6" s="150"/>
      <c r="L6" s="150"/>
      <c r="M6" s="150"/>
      <c r="N6" s="150"/>
      <c r="O6" s="150"/>
      <c r="P6" s="150"/>
    </row>
    <row r="7" spans="2:16" ht="15" x14ac:dyDescent="0.2">
      <c r="B7" s="297" t="s">
        <v>405</v>
      </c>
      <c r="C7" s="298"/>
      <c r="D7" s="298"/>
      <c r="E7" s="298"/>
      <c r="F7" s="298"/>
      <c r="G7" s="298"/>
      <c r="H7" s="298"/>
      <c r="I7" s="298"/>
      <c r="J7" s="298"/>
      <c r="K7" s="298"/>
      <c r="L7" s="298"/>
      <c r="M7" s="298"/>
      <c r="N7" s="298"/>
      <c r="O7" s="299"/>
    </row>
    <row r="8" spans="2:16" ht="14.25" customHeight="1" x14ac:dyDescent="0.2">
      <c r="B8" s="300" t="s">
        <v>2</v>
      </c>
      <c r="C8" s="302" t="s">
        <v>265</v>
      </c>
      <c r="D8" s="304" t="s">
        <v>254</v>
      </c>
      <c r="E8" s="304" t="s">
        <v>255</v>
      </c>
      <c r="F8" s="304" t="s">
        <v>256</v>
      </c>
      <c r="G8" s="304"/>
      <c r="H8" s="304"/>
      <c r="I8" s="304"/>
      <c r="J8" s="304" t="s">
        <v>257</v>
      </c>
      <c r="K8" s="304"/>
      <c r="L8" s="304"/>
      <c r="M8" s="304"/>
      <c r="N8" s="304" t="s">
        <v>258</v>
      </c>
      <c r="O8" s="306"/>
    </row>
    <row r="9" spans="2:16" ht="60.75" thickBot="1" x14ac:dyDescent="0.25">
      <c r="B9" s="301"/>
      <c r="C9" s="303"/>
      <c r="D9" s="305"/>
      <c r="E9" s="305"/>
      <c r="F9" s="197" t="s">
        <v>259</v>
      </c>
      <c r="G9" s="197" t="s">
        <v>138</v>
      </c>
      <c r="H9" s="64" t="s">
        <v>260</v>
      </c>
      <c r="I9" s="64" t="s">
        <v>261</v>
      </c>
      <c r="J9" s="197" t="s">
        <v>262</v>
      </c>
      <c r="K9" s="197" t="s">
        <v>138</v>
      </c>
      <c r="L9" s="64" t="s">
        <v>263</v>
      </c>
      <c r="M9" s="64" t="s">
        <v>264</v>
      </c>
      <c r="N9" s="64" t="s">
        <v>259</v>
      </c>
      <c r="O9" s="65" t="s">
        <v>261</v>
      </c>
    </row>
    <row r="10" spans="2:16" x14ac:dyDescent="0.2">
      <c r="B10" s="199">
        <v>1</v>
      </c>
      <c r="C10" s="200" t="s">
        <v>469</v>
      </c>
      <c r="D10" s="201">
        <v>1100</v>
      </c>
      <c r="E10" s="203">
        <v>0</v>
      </c>
      <c r="F10" s="198">
        <v>214.80770280500002</v>
      </c>
      <c r="G10" s="198">
        <v>0</v>
      </c>
      <c r="H10" s="202"/>
      <c r="I10" s="152">
        <f>F10+G10+H10</f>
        <v>214.80770280500002</v>
      </c>
      <c r="J10" s="198">
        <v>39.944657060000004</v>
      </c>
      <c r="K10" s="198">
        <v>6.9719216129999992</v>
      </c>
      <c r="L10" s="153"/>
      <c r="M10" s="152">
        <f>J10+K10+L10</f>
        <v>46.916578673000004</v>
      </c>
      <c r="N10" s="153">
        <f>+F10-J10</f>
        <v>174.86304574500002</v>
      </c>
      <c r="O10" s="153">
        <f>+I10-M10</f>
        <v>167.89112413200002</v>
      </c>
    </row>
    <row r="11" spans="2:16" x14ac:dyDescent="0.2">
      <c r="B11" s="199">
        <v>2</v>
      </c>
      <c r="C11" s="200" t="s">
        <v>470</v>
      </c>
      <c r="D11" s="201">
        <v>1200</v>
      </c>
      <c r="E11" s="203"/>
      <c r="F11" s="198">
        <v>68.390140982000005</v>
      </c>
      <c r="G11" s="198">
        <v>0</v>
      </c>
      <c r="H11" s="202"/>
      <c r="I11" s="152">
        <f t="shared" ref="I11:I18" si="0">F11+G11+H11</f>
        <v>68.390140982000005</v>
      </c>
      <c r="J11" s="198">
        <v>31.994933727999996</v>
      </c>
      <c r="K11" s="198">
        <v>1.738599596</v>
      </c>
      <c r="L11" s="153"/>
      <c r="M11" s="152">
        <f t="shared" ref="M11:M18" si="1">J11+K11+L11</f>
        <v>33.733533323999993</v>
      </c>
      <c r="N11" s="153">
        <f t="shared" ref="N11:N18" si="2">+F11-J11</f>
        <v>36.395207254000013</v>
      </c>
      <c r="O11" s="153">
        <f t="shared" ref="O11:O18" si="3">+I11-M11</f>
        <v>34.656607658000013</v>
      </c>
    </row>
    <row r="12" spans="2:16" x14ac:dyDescent="0.2">
      <c r="B12" s="199">
        <v>3</v>
      </c>
      <c r="C12" s="200" t="s">
        <v>471</v>
      </c>
      <c r="D12" s="201">
        <v>1300</v>
      </c>
      <c r="E12" s="204">
        <v>3.5999999999999997E-2</v>
      </c>
      <c r="F12" s="198">
        <v>2755.7945936139995</v>
      </c>
      <c r="G12" s="198">
        <v>3.4419544189999995</v>
      </c>
      <c r="H12" s="202"/>
      <c r="I12" s="152">
        <f t="shared" si="0"/>
        <v>2759.2365480329995</v>
      </c>
      <c r="J12" s="198">
        <v>1052.1975261679997</v>
      </c>
      <c r="K12" s="198">
        <v>87.526196677000002</v>
      </c>
      <c r="L12" s="153"/>
      <c r="M12" s="152">
        <f t="shared" si="1"/>
        <v>1139.7237228449997</v>
      </c>
      <c r="N12" s="153">
        <f t="shared" si="2"/>
        <v>1703.5970674459998</v>
      </c>
      <c r="O12" s="153">
        <f t="shared" si="3"/>
        <v>1619.5128251879999</v>
      </c>
    </row>
    <row r="13" spans="2:16" x14ac:dyDescent="0.2">
      <c r="B13" s="199">
        <v>4</v>
      </c>
      <c r="C13" s="200" t="s">
        <v>472</v>
      </c>
      <c r="D13" s="201">
        <v>1400</v>
      </c>
      <c r="E13" s="204">
        <v>3.5999999999999997E-2</v>
      </c>
      <c r="F13" s="198">
        <v>172.69850467399999</v>
      </c>
      <c r="G13" s="198">
        <v>0</v>
      </c>
      <c r="H13" s="202"/>
      <c r="I13" s="152">
        <f t="shared" si="0"/>
        <v>172.69850467399999</v>
      </c>
      <c r="J13" s="198">
        <v>71.60410597100001</v>
      </c>
      <c r="K13" s="198">
        <v>5.9467293359999998</v>
      </c>
      <c r="L13" s="153"/>
      <c r="M13" s="152">
        <f t="shared" si="1"/>
        <v>77.550835307000014</v>
      </c>
      <c r="N13" s="153">
        <f t="shared" si="2"/>
        <v>101.09439870299998</v>
      </c>
      <c r="O13" s="153">
        <f t="shared" si="3"/>
        <v>95.147669366999978</v>
      </c>
    </row>
    <row r="14" spans="2:16" x14ac:dyDescent="0.2">
      <c r="B14" s="199">
        <v>5</v>
      </c>
      <c r="C14" s="200" t="s">
        <v>473</v>
      </c>
      <c r="D14" s="201">
        <v>1500</v>
      </c>
      <c r="E14" s="204">
        <v>3.5999999999999997E-2</v>
      </c>
      <c r="F14" s="198">
        <v>543.04019183800006</v>
      </c>
      <c r="G14" s="198">
        <v>0.16785145500000001</v>
      </c>
      <c r="H14" s="202"/>
      <c r="I14" s="152">
        <f>F14+G14+H14</f>
        <v>543.20804329300006</v>
      </c>
      <c r="J14" s="198">
        <v>272.31554000300002</v>
      </c>
      <c r="K14" s="198">
        <v>10.427234178000001</v>
      </c>
      <c r="L14" s="153"/>
      <c r="M14" s="152">
        <f t="shared" si="1"/>
        <v>282.74277418100002</v>
      </c>
      <c r="N14" s="153">
        <f t="shared" si="2"/>
        <v>270.72465183500003</v>
      </c>
      <c r="O14" s="153">
        <f t="shared" si="3"/>
        <v>260.46526911200004</v>
      </c>
      <c r="P14" s="171"/>
    </row>
    <row r="15" spans="2:16" x14ac:dyDescent="0.2">
      <c r="B15" s="199">
        <v>6</v>
      </c>
      <c r="C15" s="200" t="s">
        <v>474</v>
      </c>
      <c r="D15" s="201">
        <v>1600</v>
      </c>
      <c r="E15" s="204">
        <v>3.5999999999999997E-2</v>
      </c>
      <c r="F15" s="198">
        <v>14.246456906999999</v>
      </c>
      <c r="G15" s="198">
        <v>0</v>
      </c>
      <c r="H15" s="202"/>
      <c r="I15" s="152">
        <f t="shared" si="0"/>
        <v>14.246456906999999</v>
      </c>
      <c r="J15" s="198">
        <v>2.7164207399999998</v>
      </c>
      <c r="K15" s="198">
        <v>0.45933593099999998</v>
      </c>
      <c r="L15" s="153"/>
      <c r="M15" s="152">
        <f t="shared" si="1"/>
        <v>3.1757566709999998</v>
      </c>
      <c r="N15" s="153">
        <f t="shared" si="2"/>
        <v>11.530036166999999</v>
      </c>
      <c r="O15" s="153">
        <f t="shared" si="3"/>
        <v>11.070700235999999</v>
      </c>
    </row>
    <row r="16" spans="2:16" x14ac:dyDescent="0.2">
      <c r="B16" s="199">
        <v>7</v>
      </c>
      <c r="C16" s="200" t="s">
        <v>475</v>
      </c>
      <c r="D16" s="201">
        <v>1800</v>
      </c>
      <c r="E16" s="204">
        <v>3.5999999999999997E-2</v>
      </c>
      <c r="F16" s="198">
        <v>0.23303650200000001</v>
      </c>
      <c r="G16" s="198">
        <v>0</v>
      </c>
      <c r="H16" s="202"/>
      <c r="I16" s="152">
        <f t="shared" si="0"/>
        <v>0.23303650200000001</v>
      </c>
      <c r="J16" s="198">
        <v>0.13793164099999999</v>
      </c>
      <c r="K16" s="198">
        <v>2.1854815999999999E-2</v>
      </c>
      <c r="L16" s="153"/>
      <c r="M16" s="152">
        <f t="shared" si="1"/>
        <v>0.15978645699999999</v>
      </c>
      <c r="N16" s="153">
        <f t="shared" si="2"/>
        <v>9.5104861000000013E-2</v>
      </c>
      <c r="O16" s="153">
        <f t="shared" si="3"/>
        <v>7.3250045000000014E-2</v>
      </c>
    </row>
    <row r="17" spans="2:16" x14ac:dyDescent="0.2">
      <c r="B17" s="199">
        <v>8</v>
      </c>
      <c r="C17" s="200" t="s">
        <v>411</v>
      </c>
      <c r="D17" s="201">
        <v>1900</v>
      </c>
      <c r="E17" s="204">
        <v>3.5999999999999997E-2</v>
      </c>
      <c r="F17" s="198">
        <v>0.196849198</v>
      </c>
      <c r="G17" s="198">
        <v>0</v>
      </c>
      <c r="H17" s="202"/>
      <c r="I17" s="152">
        <f t="shared" si="0"/>
        <v>0.196849198</v>
      </c>
      <c r="J17" s="198">
        <v>0.17584992399999999</v>
      </c>
      <c r="K17" s="198">
        <v>2.0070791000000001E-2</v>
      </c>
      <c r="L17" s="153"/>
      <c r="M17" s="152">
        <f t="shared" si="1"/>
        <v>0.195920715</v>
      </c>
      <c r="N17" s="153">
        <f t="shared" si="2"/>
        <v>2.0999274000000012E-2</v>
      </c>
      <c r="O17" s="153">
        <f t="shared" si="3"/>
        <v>9.2848300000000772E-4</v>
      </c>
    </row>
    <row r="18" spans="2:16" x14ac:dyDescent="0.2">
      <c r="B18" s="199">
        <v>9</v>
      </c>
      <c r="C18" s="200" t="s">
        <v>476</v>
      </c>
      <c r="D18" s="201">
        <v>2100</v>
      </c>
      <c r="E18" s="204">
        <v>3.5999999999999997E-2</v>
      </c>
      <c r="F18" s="198">
        <v>5.2523480000000004E-2</v>
      </c>
      <c r="G18" s="198">
        <v>0</v>
      </c>
      <c r="H18" s="202"/>
      <c r="I18" s="152">
        <f t="shared" si="0"/>
        <v>5.2523480000000004E-2</v>
      </c>
      <c r="J18" s="198">
        <v>2.3034764999999999E-2</v>
      </c>
      <c r="K18" s="198">
        <v>8.0570620000000003E-3</v>
      </c>
      <c r="L18" s="153"/>
      <c r="M18" s="152">
        <f t="shared" si="1"/>
        <v>3.1091826999999999E-2</v>
      </c>
      <c r="N18" s="153">
        <f t="shared" si="2"/>
        <v>2.9488715000000006E-2</v>
      </c>
      <c r="O18" s="153">
        <f t="shared" si="3"/>
        <v>2.1431653000000005E-2</v>
      </c>
    </row>
    <row r="19" spans="2:16" s="48" customFormat="1" ht="15" x14ac:dyDescent="0.2">
      <c r="B19" s="207"/>
      <c r="C19" s="208" t="s">
        <v>139</v>
      </c>
      <c r="D19" s="208"/>
      <c r="E19" s="209">
        <f>IFERROR((K19-L19)/AVERAGE(F19,I19),0)</f>
        <v>2.9995240323870107E-2</v>
      </c>
      <c r="F19" s="206">
        <f>ROUND(SUM(F10:F18),2)</f>
        <v>3769.46</v>
      </c>
      <c r="G19" s="206">
        <f t="shared" ref="G19:O19" si="4">ROUND(SUM(G10:G18),2)</f>
        <v>3.61</v>
      </c>
      <c r="H19" s="206">
        <f t="shared" si="4"/>
        <v>0</v>
      </c>
      <c r="I19" s="206">
        <f t="shared" si="4"/>
        <v>3773.07</v>
      </c>
      <c r="J19" s="206">
        <f t="shared" si="4"/>
        <v>1471.11</v>
      </c>
      <c r="K19" s="206">
        <f t="shared" si="4"/>
        <v>113.12</v>
      </c>
      <c r="L19" s="206">
        <f t="shared" si="4"/>
        <v>0</v>
      </c>
      <c r="M19" s="206">
        <f t="shared" si="4"/>
        <v>1584.23</v>
      </c>
      <c r="N19" s="206">
        <f t="shared" si="4"/>
        <v>2298.35</v>
      </c>
      <c r="O19" s="206">
        <f t="shared" si="4"/>
        <v>2188.84</v>
      </c>
    </row>
    <row r="20" spans="2:16" x14ac:dyDescent="0.2">
      <c r="F20" s="167"/>
      <c r="G20" s="167"/>
      <c r="H20" s="167"/>
      <c r="I20" s="167"/>
      <c r="J20" s="167"/>
      <c r="K20" s="167"/>
      <c r="L20" s="167"/>
      <c r="M20" s="167"/>
      <c r="N20" s="167"/>
      <c r="O20" s="167"/>
      <c r="P20" s="167"/>
    </row>
    <row r="21" spans="2:16" ht="15" x14ac:dyDescent="0.2">
      <c r="B21" s="307" t="s">
        <v>406</v>
      </c>
      <c r="C21" s="307"/>
      <c r="D21" s="307"/>
      <c r="E21" s="307"/>
      <c r="F21" s="307"/>
      <c r="G21" s="307"/>
      <c r="H21" s="307"/>
      <c r="I21" s="307"/>
      <c r="J21" s="307"/>
      <c r="K21" s="307"/>
      <c r="L21" s="307"/>
      <c r="M21" s="307"/>
      <c r="N21" s="307"/>
      <c r="O21" s="307"/>
    </row>
    <row r="22" spans="2:16" ht="15" x14ac:dyDescent="0.2">
      <c r="B22" s="300" t="s">
        <v>2</v>
      </c>
      <c r="C22" s="302" t="s">
        <v>265</v>
      </c>
      <c r="D22" s="304" t="s">
        <v>254</v>
      </c>
      <c r="E22" s="304" t="s">
        <v>255</v>
      </c>
      <c r="F22" s="304" t="s">
        <v>256</v>
      </c>
      <c r="G22" s="304"/>
      <c r="H22" s="304"/>
      <c r="I22" s="304"/>
      <c r="J22" s="304" t="s">
        <v>257</v>
      </c>
      <c r="K22" s="304"/>
      <c r="L22" s="304"/>
      <c r="M22" s="304"/>
      <c r="N22" s="304" t="s">
        <v>258</v>
      </c>
      <c r="O22" s="306"/>
    </row>
    <row r="23" spans="2:16" ht="60.75" thickBot="1" x14ac:dyDescent="0.25">
      <c r="B23" s="301"/>
      <c r="C23" s="303"/>
      <c r="D23" s="305"/>
      <c r="E23" s="308"/>
      <c r="F23" s="197" t="s">
        <v>259</v>
      </c>
      <c r="G23" s="197" t="s">
        <v>138</v>
      </c>
      <c r="H23" s="64" t="s">
        <v>260</v>
      </c>
      <c r="I23" s="64" t="s">
        <v>261</v>
      </c>
      <c r="J23" s="64" t="s">
        <v>262</v>
      </c>
      <c r="K23" s="64" t="s">
        <v>138</v>
      </c>
      <c r="L23" s="64" t="s">
        <v>263</v>
      </c>
      <c r="M23" s="64" t="s">
        <v>264</v>
      </c>
      <c r="N23" s="64" t="s">
        <v>259</v>
      </c>
      <c r="O23" s="65" t="s">
        <v>261</v>
      </c>
    </row>
    <row r="24" spans="2:16" x14ac:dyDescent="0.2">
      <c r="B24" s="199">
        <v>1</v>
      </c>
      <c r="C24" s="200" t="s">
        <v>469</v>
      </c>
      <c r="D24" s="201">
        <v>1100</v>
      </c>
      <c r="E24" s="151">
        <v>0</v>
      </c>
      <c r="F24" s="198">
        <v>214.80770280500002</v>
      </c>
      <c r="G24" s="198">
        <v>0</v>
      </c>
      <c r="H24" s="153"/>
      <c r="I24" s="152">
        <f>F24+G24+H24</f>
        <v>214.80770280500002</v>
      </c>
      <c r="J24" s="153">
        <f t="shared" ref="J24:J32" si="5">M10</f>
        <v>46.916578673000004</v>
      </c>
      <c r="K24" s="198">
        <v>6.9719216129999992</v>
      </c>
      <c r="L24" s="153"/>
      <c r="M24" s="152">
        <f>J24+K24+L24</f>
        <v>53.888500286000003</v>
      </c>
      <c r="N24" s="153">
        <f>+F24-J24</f>
        <v>167.89112413200002</v>
      </c>
      <c r="O24" s="153">
        <f>+I24-M24</f>
        <v>160.91920251900001</v>
      </c>
    </row>
    <row r="25" spans="2:16" x14ac:dyDescent="0.2">
      <c r="B25" s="199">
        <v>2</v>
      </c>
      <c r="C25" s="200" t="s">
        <v>470</v>
      </c>
      <c r="D25" s="201">
        <v>1200</v>
      </c>
      <c r="E25" s="151"/>
      <c r="F25" s="198">
        <v>68.390140982000005</v>
      </c>
      <c r="G25" s="198">
        <v>0</v>
      </c>
      <c r="H25" s="153"/>
      <c r="I25" s="152">
        <f t="shared" ref="I25:I32" si="6">F25+G25+H25</f>
        <v>68.390140982000005</v>
      </c>
      <c r="J25" s="153">
        <f t="shared" si="5"/>
        <v>33.733533323999993</v>
      </c>
      <c r="K25" s="198">
        <v>1.738599596</v>
      </c>
      <c r="L25" s="153"/>
      <c r="M25" s="152">
        <f t="shared" ref="M25:M32" si="7">J25+K25+L25</f>
        <v>35.472132919999993</v>
      </c>
      <c r="N25" s="153">
        <f t="shared" ref="N25:N32" si="8">+F25-J25</f>
        <v>34.656607658000013</v>
      </c>
      <c r="O25" s="153">
        <f t="shared" ref="O25:O32" si="9">+I25-M25</f>
        <v>32.918008062000013</v>
      </c>
    </row>
    <row r="26" spans="2:16" x14ac:dyDescent="0.2">
      <c r="B26" s="199">
        <v>3</v>
      </c>
      <c r="C26" s="200" t="s">
        <v>471</v>
      </c>
      <c r="D26" s="201">
        <v>1300</v>
      </c>
      <c r="E26" s="154">
        <v>3.5999999999999997E-2</v>
      </c>
      <c r="F26" s="198">
        <v>2759.4045936139996</v>
      </c>
      <c r="G26" s="198">
        <v>5.2</v>
      </c>
      <c r="H26" s="153"/>
      <c r="I26" s="152">
        <f t="shared" si="6"/>
        <v>2764.6045936139994</v>
      </c>
      <c r="J26" s="153">
        <f t="shared" si="5"/>
        <v>1139.7237228449997</v>
      </c>
      <c r="K26" s="198">
        <v>87.806196676999988</v>
      </c>
      <c r="L26" s="153"/>
      <c r="M26" s="152">
        <f t="shared" si="7"/>
        <v>1227.5299195219995</v>
      </c>
      <c r="N26" s="153">
        <f t="shared" si="8"/>
        <v>1619.680870769</v>
      </c>
      <c r="O26" s="153">
        <f t="shared" si="9"/>
        <v>1537.0746740919999</v>
      </c>
    </row>
    <row r="27" spans="2:16" x14ac:dyDescent="0.2">
      <c r="B27" s="199">
        <v>4</v>
      </c>
      <c r="C27" s="200" t="s">
        <v>472</v>
      </c>
      <c r="D27" s="201">
        <v>1400</v>
      </c>
      <c r="E27" s="154">
        <v>3.5999999999999997E-2</v>
      </c>
      <c r="F27" s="198">
        <v>172.69850467399999</v>
      </c>
      <c r="G27" s="198"/>
      <c r="H27" s="153"/>
      <c r="I27" s="152">
        <f t="shared" si="6"/>
        <v>172.69850467399999</v>
      </c>
      <c r="J27" s="153">
        <f t="shared" si="5"/>
        <v>77.550835307000014</v>
      </c>
      <c r="K27" s="198">
        <v>5.9467293359999998</v>
      </c>
      <c r="L27" s="153"/>
      <c r="M27" s="152">
        <f t="shared" si="7"/>
        <v>83.497564643000018</v>
      </c>
      <c r="N27" s="153">
        <f t="shared" si="8"/>
        <v>95.147669366999978</v>
      </c>
      <c r="O27" s="153">
        <f t="shared" si="9"/>
        <v>89.200940030999973</v>
      </c>
    </row>
    <row r="28" spans="2:16" x14ac:dyDescent="0.2">
      <c r="B28" s="199">
        <v>5</v>
      </c>
      <c r="C28" s="200" t="s">
        <v>473</v>
      </c>
      <c r="D28" s="201">
        <v>1500</v>
      </c>
      <c r="E28" s="154">
        <v>3.5999999999999997E-2</v>
      </c>
      <c r="F28" s="198">
        <v>543.04019183800006</v>
      </c>
      <c r="G28" s="198"/>
      <c r="H28" s="153"/>
      <c r="I28" s="152">
        <f t="shared" si="6"/>
        <v>543.04019183800006</v>
      </c>
      <c r="J28" s="153">
        <f t="shared" si="5"/>
        <v>282.74277418100002</v>
      </c>
      <c r="K28" s="198">
        <v>10.427234178000001</v>
      </c>
      <c r="L28" s="153"/>
      <c r="M28" s="152">
        <f t="shared" si="7"/>
        <v>293.17000835900001</v>
      </c>
      <c r="N28" s="153">
        <f t="shared" si="8"/>
        <v>260.29741765700004</v>
      </c>
      <c r="O28" s="153">
        <f t="shared" si="9"/>
        <v>249.87018347900005</v>
      </c>
    </row>
    <row r="29" spans="2:16" x14ac:dyDescent="0.2">
      <c r="B29" s="199">
        <v>6</v>
      </c>
      <c r="C29" s="200" t="s">
        <v>474</v>
      </c>
      <c r="D29" s="201">
        <v>1600</v>
      </c>
      <c r="E29" s="154">
        <v>3.5999999999999997E-2</v>
      </c>
      <c r="F29" s="198">
        <v>14.246456906999999</v>
      </c>
      <c r="G29" s="198">
        <v>0</v>
      </c>
      <c r="H29" s="153"/>
      <c r="I29" s="152">
        <f t="shared" si="6"/>
        <v>14.246456906999999</v>
      </c>
      <c r="J29" s="153">
        <f t="shared" si="5"/>
        <v>3.1757566709999998</v>
      </c>
      <c r="K29" s="198">
        <v>0.45933593099999998</v>
      </c>
      <c r="L29" s="153"/>
      <c r="M29" s="152">
        <f t="shared" si="7"/>
        <v>3.6350926019999998</v>
      </c>
      <c r="N29" s="153">
        <f t="shared" si="8"/>
        <v>11.070700235999999</v>
      </c>
      <c r="O29" s="153">
        <f t="shared" si="9"/>
        <v>10.611364304999999</v>
      </c>
    </row>
    <row r="30" spans="2:16" x14ac:dyDescent="0.2">
      <c r="B30" s="199">
        <v>7</v>
      </c>
      <c r="C30" s="200" t="s">
        <v>475</v>
      </c>
      <c r="D30" s="201">
        <v>1800</v>
      </c>
      <c r="E30" s="154">
        <v>3.5999999999999997E-2</v>
      </c>
      <c r="F30" s="198">
        <v>0.23303650200000001</v>
      </c>
      <c r="G30" s="198">
        <v>0</v>
      </c>
      <c r="H30" s="153"/>
      <c r="I30" s="152">
        <f t="shared" si="6"/>
        <v>0.23303650200000001</v>
      </c>
      <c r="J30" s="153">
        <f t="shared" si="5"/>
        <v>0.15978645699999999</v>
      </c>
      <c r="K30" s="198">
        <v>2.1854815999999999E-2</v>
      </c>
      <c r="L30" s="153"/>
      <c r="M30" s="152">
        <f t="shared" si="7"/>
        <v>0.18164127299999999</v>
      </c>
      <c r="N30" s="153">
        <f t="shared" si="8"/>
        <v>7.3250045000000014E-2</v>
      </c>
      <c r="O30" s="153">
        <f t="shared" si="9"/>
        <v>5.1395229000000014E-2</v>
      </c>
    </row>
    <row r="31" spans="2:16" x14ac:dyDescent="0.2">
      <c r="B31" s="199">
        <v>8</v>
      </c>
      <c r="C31" s="200" t="s">
        <v>411</v>
      </c>
      <c r="D31" s="201">
        <v>1900</v>
      </c>
      <c r="E31" s="154">
        <v>3.5999999999999997E-2</v>
      </c>
      <c r="F31" s="198">
        <v>0.196849198</v>
      </c>
      <c r="G31" s="198">
        <v>0</v>
      </c>
      <c r="H31" s="153"/>
      <c r="I31" s="152">
        <f t="shared" si="6"/>
        <v>0.196849198</v>
      </c>
      <c r="J31" s="153">
        <f t="shared" si="5"/>
        <v>0.195920715</v>
      </c>
      <c r="K31" s="198"/>
      <c r="L31" s="153"/>
      <c r="M31" s="152">
        <f t="shared" si="7"/>
        <v>0.195920715</v>
      </c>
      <c r="N31" s="153">
        <f t="shared" si="8"/>
        <v>9.2848300000000772E-4</v>
      </c>
      <c r="O31" s="153">
        <f t="shared" si="9"/>
        <v>9.2848300000000772E-4</v>
      </c>
    </row>
    <row r="32" spans="2:16" x14ac:dyDescent="0.2">
      <c r="B32" s="199">
        <v>9</v>
      </c>
      <c r="C32" s="200" t="s">
        <v>476</v>
      </c>
      <c r="D32" s="201">
        <v>2100</v>
      </c>
      <c r="E32" s="154">
        <v>3.5999999999999997E-2</v>
      </c>
      <c r="F32" s="198">
        <v>5.2523480000000004E-2</v>
      </c>
      <c r="G32" s="198">
        <v>0</v>
      </c>
      <c r="H32" s="153"/>
      <c r="I32" s="152">
        <f t="shared" si="6"/>
        <v>5.2523480000000004E-2</v>
      </c>
      <c r="J32" s="153">
        <f t="shared" si="5"/>
        <v>3.1091826999999999E-2</v>
      </c>
      <c r="K32" s="198"/>
      <c r="L32" s="153"/>
      <c r="M32" s="152">
        <f t="shared" si="7"/>
        <v>3.1091826999999999E-2</v>
      </c>
      <c r="N32" s="153">
        <f t="shared" si="8"/>
        <v>2.1431653000000005E-2</v>
      </c>
      <c r="O32" s="153">
        <f t="shared" si="9"/>
        <v>2.1431653000000005E-2</v>
      </c>
    </row>
    <row r="33" spans="2:16" s="48" customFormat="1" ht="15.75" thickBot="1" x14ac:dyDescent="0.25">
      <c r="B33" s="168"/>
      <c r="C33" s="169" t="s">
        <v>139</v>
      </c>
      <c r="D33" s="169"/>
      <c r="E33" s="166">
        <f>IFERROR((K33-L33)/AVERAGE(F33,I33),0)</f>
        <v>3.0026458880145775E-2</v>
      </c>
      <c r="F33" s="165">
        <f>ROUND(SUM(F24:F32),2)</f>
        <v>3773.07</v>
      </c>
      <c r="G33" s="165">
        <f t="shared" ref="G33:O33" si="10">ROUND(SUM(G24:G32),2)</f>
        <v>5.2</v>
      </c>
      <c r="H33" s="165">
        <f t="shared" si="10"/>
        <v>0</v>
      </c>
      <c r="I33" s="165">
        <f t="shared" si="10"/>
        <v>3778.27</v>
      </c>
      <c r="J33" s="165">
        <f t="shared" si="10"/>
        <v>1584.23</v>
      </c>
      <c r="K33" s="165">
        <f t="shared" si="10"/>
        <v>113.37</v>
      </c>
      <c r="L33" s="165">
        <f t="shared" si="10"/>
        <v>0</v>
      </c>
      <c r="M33" s="165">
        <f t="shared" si="10"/>
        <v>1697.6</v>
      </c>
      <c r="N33" s="165">
        <f t="shared" si="10"/>
        <v>2188.84</v>
      </c>
      <c r="O33" s="165">
        <f t="shared" si="10"/>
        <v>2080.67</v>
      </c>
    </row>
    <row r="34" spans="2:16" ht="15" thickBot="1" x14ac:dyDescent="0.25">
      <c r="F34" s="167"/>
      <c r="G34" s="167"/>
      <c r="H34" s="167"/>
      <c r="I34" s="167"/>
      <c r="J34" s="167"/>
      <c r="K34" s="167"/>
      <c r="L34" s="167"/>
      <c r="M34" s="167"/>
      <c r="N34" s="167"/>
      <c r="O34" s="167"/>
      <c r="P34" s="167"/>
    </row>
    <row r="35" spans="2:16" ht="15" x14ac:dyDescent="0.2">
      <c r="B35" s="297" t="s">
        <v>466</v>
      </c>
      <c r="C35" s="298"/>
      <c r="D35" s="298"/>
      <c r="E35" s="298"/>
      <c r="F35" s="298"/>
      <c r="G35" s="298"/>
      <c r="H35" s="298"/>
      <c r="I35" s="298"/>
      <c r="J35" s="298"/>
      <c r="K35" s="298"/>
      <c r="L35" s="298"/>
      <c r="M35" s="298"/>
      <c r="N35" s="298"/>
      <c r="O35" s="299"/>
    </row>
    <row r="36" spans="2:16" ht="15" x14ac:dyDescent="0.2">
      <c r="B36" s="300" t="s">
        <v>2</v>
      </c>
      <c r="C36" s="302" t="s">
        <v>265</v>
      </c>
      <c r="D36" s="304" t="s">
        <v>254</v>
      </c>
      <c r="E36" s="304" t="s">
        <v>255</v>
      </c>
      <c r="F36" s="304" t="s">
        <v>256</v>
      </c>
      <c r="G36" s="304"/>
      <c r="H36" s="304"/>
      <c r="I36" s="304"/>
      <c r="J36" s="304" t="s">
        <v>257</v>
      </c>
      <c r="K36" s="304"/>
      <c r="L36" s="304"/>
      <c r="M36" s="304"/>
      <c r="N36" s="304" t="s">
        <v>258</v>
      </c>
      <c r="O36" s="306"/>
    </row>
    <row r="37" spans="2:16" ht="60" x14ac:dyDescent="0.2">
      <c r="B37" s="301"/>
      <c r="C37" s="303"/>
      <c r="D37" s="305"/>
      <c r="E37" s="305"/>
      <c r="F37" s="197" t="s">
        <v>259</v>
      </c>
      <c r="G37" s="197" t="s">
        <v>138</v>
      </c>
      <c r="H37" s="197" t="s">
        <v>260</v>
      </c>
      <c r="I37" s="197" t="s">
        <v>261</v>
      </c>
      <c r="J37" s="197" t="s">
        <v>262</v>
      </c>
      <c r="K37" s="197" t="s">
        <v>138</v>
      </c>
      <c r="L37" s="197" t="s">
        <v>263</v>
      </c>
      <c r="M37" s="197" t="s">
        <v>264</v>
      </c>
      <c r="N37" s="197" t="s">
        <v>259</v>
      </c>
      <c r="O37" s="261" t="s">
        <v>261</v>
      </c>
    </row>
    <row r="38" spans="2:16" x14ac:dyDescent="0.2">
      <c r="B38" s="199">
        <v>1</v>
      </c>
      <c r="C38" s="200" t="s">
        <v>469</v>
      </c>
      <c r="D38" s="201">
        <v>1100</v>
      </c>
      <c r="E38" s="203">
        <v>0</v>
      </c>
      <c r="F38" s="205">
        <f t="shared" ref="F38:F46" si="11">I24</f>
        <v>214.80770280500002</v>
      </c>
      <c r="G38" s="205"/>
      <c r="H38" s="205"/>
      <c r="I38" s="262">
        <f>F38+G38+H38</f>
        <v>214.80770280500002</v>
      </c>
      <c r="J38" s="205">
        <f t="shared" ref="J38:J46" si="12">M24</f>
        <v>53.888500286000003</v>
      </c>
      <c r="K38" s="198">
        <v>6.9719216129999992</v>
      </c>
      <c r="L38" s="205"/>
      <c r="M38" s="262">
        <f>J38+K38+L38</f>
        <v>60.860421899000002</v>
      </c>
      <c r="N38" s="205">
        <f>+F38-J38</f>
        <v>160.91920251900001</v>
      </c>
      <c r="O38" s="205">
        <f>+I38-M38</f>
        <v>153.947280906</v>
      </c>
    </row>
    <row r="39" spans="2:16" x14ac:dyDescent="0.2">
      <c r="B39" s="199">
        <v>2</v>
      </c>
      <c r="C39" s="200" t="s">
        <v>470</v>
      </c>
      <c r="D39" s="201">
        <v>1200</v>
      </c>
      <c r="E39" s="203"/>
      <c r="F39" s="205">
        <f t="shared" si="11"/>
        <v>68.390140982000005</v>
      </c>
      <c r="G39" s="205"/>
      <c r="H39" s="205"/>
      <c r="I39" s="262">
        <f t="shared" ref="I39:I46" si="13">F39+G39+H39</f>
        <v>68.390140982000005</v>
      </c>
      <c r="J39" s="205">
        <f t="shared" si="12"/>
        <v>35.472132919999993</v>
      </c>
      <c r="K39" s="198">
        <v>1.738599596</v>
      </c>
      <c r="L39" s="205"/>
      <c r="M39" s="262">
        <f t="shared" ref="M39:M46" si="14">J39+K39+L39</f>
        <v>37.210732515999993</v>
      </c>
      <c r="N39" s="205">
        <f t="shared" ref="N39:N46" si="15">+F39-J39</f>
        <v>32.918008062000013</v>
      </c>
      <c r="O39" s="205">
        <f t="shared" ref="O39:O46" si="16">+I39-M39</f>
        <v>31.179408466000012</v>
      </c>
    </row>
    <row r="40" spans="2:16" x14ac:dyDescent="0.2">
      <c r="B40" s="199">
        <v>3</v>
      </c>
      <c r="C40" s="200" t="s">
        <v>471</v>
      </c>
      <c r="D40" s="201">
        <v>1300</v>
      </c>
      <c r="E40" s="204">
        <v>3.5999999999999997E-2</v>
      </c>
      <c r="F40" s="205">
        <f t="shared" si="11"/>
        <v>2764.6045936139994</v>
      </c>
      <c r="G40" s="205">
        <v>93</v>
      </c>
      <c r="H40" s="205"/>
      <c r="I40" s="262">
        <f t="shared" si="13"/>
        <v>2857.6045936139994</v>
      </c>
      <c r="J40" s="205">
        <f t="shared" si="12"/>
        <v>1227.5299195219995</v>
      </c>
      <c r="K40" s="198">
        <v>90.746196677</v>
      </c>
      <c r="L40" s="205"/>
      <c r="M40" s="262">
        <f t="shared" si="14"/>
        <v>1318.2761161989995</v>
      </c>
      <c r="N40" s="205">
        <f t="shared" si="15"/>
        <v>1537.0746740919999</v>
      </c>
      <c r="O40" s="205">
        <f t="shared" si="16"/>
        <v>1539.328477415</v>
      </c>
    </row>
    <row r="41" spans="2:16" x14ac:dyDescent="0.2">
      <c r="B41" s="199">
        <v>4</v>
      </c>
      <c r="C41" s="200" t="s">
        <v>472</v>
      </c>
      <c r="D41" s="201">
        <v>1400</v>
      </c>
      <c r="E41" s="204">
        <v>3.5999999999999997E-2</v>
      </c>
      <c r="F41" s="205">
        <f t="shared" si="11"/>
        <v>172.69850467399999</v>
      </c>
      <c r="G41" s="205"/>
      <c r="H41" s="205"/>
      <c r="I41" s="262">
        <f t="shared" si="13"/>
        <v>172.69850467399999</v>
      </c>
      <c r="J41" s="205">
        <f t="shared" si="12"/>
        <v>83.497564643000018</v>
      </c>
      <c r="K41" s="198">
        <v>5.9467293359999998</v>
      </c>
      <c r="L41" s="205"/>
      <c r="M41" s="262">
        <f t="shared" si="14"/>
        <v>89.444293979000022</v>
      </c>
      <c r="N41" s="205">
        <f t="shared" si="15"/>
        <v>89.200940030999973</v>
      </c>
      <c r="O41" s="205">
        <f t="shared" si="16"/>
        <v>83.254210694999969</v>
      </c>
    </row>
    <row r="42" spans="2:16" x14ac:dyDescent="0.2">
      <c r="B42" s="199">
        <v>5</v>
      </c>
      <c r="C42" s="200" t="s">
        <v>473</v>
      </c>
      <c r="D42" s="201">
        <v>1500</v>
      </c>
      <c r="E42" s="204">
        <v>3.5999999999999997E-2</v>
      </c>
      <c r="F42" s="205">
        <f t="shared" si="11"/>
        <v>543.04019183800006</v>
      </c>
      <c r="G42" s="205"/>
      <c r="H42" s="205"/>
      <c r="I42" s="262">
        <f t="shared" si="13"/>
        <v>543.04019183800006</v>
      </c>
      <c r="J42" s="205">
        <f t="shared" si="12"/>
        <v>293.17000835900001</v>
      </c>
      <c r="K42" s="198">
        <v>10.427234178000001</v>
      </c>
      <c r="L42" s="205"/>
      <c r="M42" s="262">
        <f t="shared" si="14"/>
        <v>303.597242537</v>
      </c>
      <c r="N42" s="205">
        <f t="shared" si="15"/>
        <v>249.87018347900005</v>
      </c>
      <c r="O42" s="205">
        <f t="shared" si="16"/>
        <v>239.44294930100006</v>
      </c>
    </row>
    <row r="43" spans="2:16" x14ac:dyDescent="0.2">
      <c r="B43" s="199">
        <v>6</v>
      </c>
      <c r="C43" s="200" t="s">
        <v>474</v>
      </c>
      <c r="D43" s="201">
        <v>1600</v>
      </c>
      <c r="E43" s="204">
        <v>3.5999999999999997E-2</v>
      </c>
      <c r="F43" s="205">
        <f t="shared" si="11"/>
        <v>14.246456906999999</v>
      </c>
      <c r="G43" s="205"/>
      <c r="H43" s="205"/>
      <c r="I43" s="262">
        <f t="shared" si="13"/>
        <v>14.246456906999999</v>
      </c>
      <c r="J43" s="205">
        <f t="shared" si="12"/>
        <v>3.6350926019999998</v>
      </c>
      <c r="K43" s="198">
        <v>0.45933593099999998</v>
      </c>
      <c r="L43" s="205"/>
      <c r="M43" s="262">
        <f t="shared" si="14"/>
        <v>4.0944285329999994</v>
      </c>
      <c r="N43" s="205">
        <f t="shared" si="15"/>
        <v>10.611364304999999</v>
      </c>
      <c r="O43" s="205">
        <f t="shared" si="16"/>
        <v>10.152028374</v>
      </c>
    </row>
    <row r="44" spans="2:16" x14ac:dyDescent="0.2">
      <c r="B44" s="199">
        <v>7</v>
      </c>
      <c r="C44" s="200" t="s">
        <v>475</v>
      </c>
      <c r="D44" s="201">
        <v>1800</v>
      </c>
      <c r="E44" s="204">
        <v>3.5999999999999997E-2</v>
      </c>
      <c r="F44" s="205">
        <f t="shared" si="11"/>
        <v>0.23303650200000001</v>
      </c>
      <c r="G44" s="205"/>
      <c r="H44" s="205"/>
      <c r="I44" s="262">
        <f t="shared" si="13"/>
        <v>0.23303650200000001</v>
      </c>
      <c r="J44" s="205">
        <f t="shared" si="12"/>
        <v>0.18164127299999999</v>
      </c>
      <c r="K44" s="198">
        <v>2.1854815999999999E-2</v>
      </c>
      <c r="L44" s="205"/>
      <c r="M44" s="262">
        <f t="shared" si="14"/>
        <v>0.20349608899999999</v>
      </c>
      <c r="N44" s="205">
        <f t="shared" si="15"/>
        <v>5.1395229000000014E-2</v>
      </c>
      <c r="O44" s="205">
        <f t="shared" si="16"/>
        <v>2.9540413000000015E-2</v>
      </c>
    </row>
    <row r="45" spans="2:16" x14ac:dyDescent="0.2">
      <c r="B45" s="199">
        <v>8</v>
      </c>
      <c r="C45" s="200" t="s">
        <v>411</v>
      </c>
      <c r="D45" s="201">
        <v>1900</v>
      </c>
      <c r="E45" s="204">
        <v>3.5999999999999997E-2</v>
      </c>
      <c r="F45" s="205">
        <f t="shared" si="11"/>
        <v>0.196849198</v>
      </c>
      <c r="G45" s="205"/>
      <c r="H45" s="205"/>
      <c r="I45" s="262">
        <f t="shared" si="13"/>
        <v>0.196849198</v>
      </c>
      <c r="J45" s="205">
        <f t="shared" si="12"/>
        <v>0.195920715</v>
      </c>
      <c r="K45" s="198"/>
      <c r="L45" s="205"/>
      <c r="M45" s="262">
        <f t="shared" si="14"/>
        <v>0.195920715</v>
      </c>
      <c r="N45" s="205">
        <f t="shared" si="15"/>
        <v>9.2848300000000772E-4</v>
      </c>
      <c r="O45" s="205">
        <f t="shared" si="16"/>
        <v>9.2848300000000772E-4</v>
      </c>
    </row>
    <row r="46" spans="2:16" x14ac:dyDescent="0.2">
      <c r="B46" s="199">
        <v>9</v>
      </c>
      <c r="C46" s="200" t="s">
        <v>476</v>
      </c>
      <c r="D46" s="201">
        <v>2100</v>
      </c>
      <c r="E46" s="204">
        <v>3.5999999999999997E-2</v>
      </c>
      <c r="F46" s="205">
        <f t="shared" si="11"/>
        <v>5.2523480000000004E-2</v>
      </c>
      <c r="G46" s="205"/>
      <c r="H46" s="205"/>
      <c r="I46" s="262">
        <f t="shared" si="13"/>
        <v>5.2523480000000004E-2</v>
      </c>
      <c r="J46" s="205">
        <f t="shared" si="12"/>
        <v>3.1091826999999999E-2</v>
      </c>
      <c r="K46" s="198"/>
      <c r="L46" s="205"/>
      <c r="M46" s="262">
        <f t="shared" si="14"/>
        <v>3.1091826999999999E-2</v>
      </c>
      <c r="N46" s="205">
        <f t="shared" si="15"/>
        <v>2.1431653000000005E-2</v>
      </c>
      <c r="O46" s="205">
        <f t="shared" si="16"/>
        <v>2.1431653000000005E-2</v>
      </c>
    </row>
    <row r="47" spans="2:16" s="48" customFormat="1" ht="15" x14ac:dyDescent="0.2">
      <c r="B47" s="207"/>
      <c r="C47" s="208" t="s">
        <v>139</v>
      </c>
      <c r="D47" s="208"/>
      <c r="E47" s="209">
        <f>IFERROR((K47-L47)/AVERAGE(F47,I47),0)</f>
        <v>3.0409671692676946E-2</v>
      </c>
      <c r="F47" s="206">
        <f>ROUND(SUM(F38:F46),2)</f>
        <v>3778.27</v>
      </c>
      <c r="G47" s="206">
        <f t="shared" ref="G47:O47" si="17">ROUND(SUM(G38:G46),2)</f>
        <v>93</v>
      </c>
      <c r="H47" s="206">
        <f t="shared" si="17"/>
        <v>0</v>
      </c>
      <c r="I47" s="206">
        <f t="shared" si="17"/>
        <v>3871.27</v>
      </c>
      <c r="J47" s="206">
        <f t="shared" si="17"/>
        <v>1697.6</v>
      </c>
      <c r="K47" s="206">
        <f t="shared" si="17"/>
        <v>116.31</v>
      </c>
      <c r="L47" s="206">
        <f t="shared" si="17"/>
        <v>0</v>
      </c>
      <c r="M47" s="206">
        <f t="shared" si="17"/>
        <v>1813.91</v>
      </c>
      <c r="N47" s="206">
        <f t="shared" si="17"/>
        <v>2080.67</v>
      </c>
      <c r="O47" s="206">
        <f t="shared" si="17"/>
        <v>2057.36</v>
      </c>
    </row>
    <row r="48" spans="2:16" x14ac:dyDescent="0.2">
      <c r="F48" s="167"/>
      <c r="G48" s="167"/>
      <c r="H48" s="167"/>
      <c r="I48" s="167"/>
      <c r="J48" s="167"/>
      <c r="K48" s="167"/>
      <c r="L48" s="167"/>
      <c r="M48" s="167"/>
      <c r="N48" s="167"/>
      <c r="O48" s="167"/>
      <c r="P48" s="167"/>
    </row>
    <row r="49" spans="11:12" x14ac:dyDescent="0.2">
      <c r="K49" s="167"/>
      <c r="L49" s="167"/>
    </row>
  </sheetData>
  <mergeCells count="24">
    <mergeCell ref="J8:M8"/>
    <mergeCell ref="N8:O8"/>
    <mergeCell ref="B7:O7"/>
    <mergeCell ref="B8:B9"/>
    <mergeCell ref="C8:C9"/>
    <mergeCell ref="D8:D9"/>
    <mergeCell ref="E8:E9"/>
    <mergeCell ref="F8:I8"/>
    <mergeCell ref="B21:O21"/>
    <mergeCell ref="B22:B23"/>
    <mergeCell ref="C22:C23"/>
    <mergeCell ref="D22:D23"/>
    <mergeCell ref="E22:E23"/>
    <mergeCell ref="F22:I22"/>
    <mergeCell ref="J22:M22"/>
    <mergeCell ref="N22:O22"/>
    <mergeCell ref="B35:O35"/>
    <mergeCell ref="B36:B37"/>
    <mergeCell ref="C36:C37"/>
    <mergeCell ref="D36:D37"/>
    <mergeCell ref="E36:E37"/>
    <mergeCell ref="F36:I36"/>
    <mergeCell ref="J36:M36"/>
    <mergeCell ref="N36:O36"/>
  </mergeCells>
  <pageMargins left="0.27" right="0.25" top="0.25" bottom="0.25" header="0.25" footer="0.25"/>
  <pageSetup paperSize="9" scale="86" fitToHeight="0" orientation="landscape" r:id="rId1"/>
  <headerFooter alignWithMargins="0"/>
  <rowBreaks count="1" manualBreakCount="1">
    <brk id="19"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28"/>
  <sheetViews>
    <sheetView zoomScale="92" zoomScaleNormal="92" workbookViewId="0">
      <selection activeCell="K23" sqref="K23"/>
    </sheetView>
  </sheetViews>
  <sheetFormatPr defaultRowHeight="12.75" x14ac:dyDescent="0.2"/>
  <cols>
    <col min="3" max="3" width="30.42578125" customWidth="1"/>
    <col min="4" max="4" width="10" bestFit="1" customWidth="1"/>
    <col min="5" max="5" width="8.140625" customWidth="1"/>
    <col min="6" max="6" width="20.140625" bestFit="1" customWidth="1"/>
    <col min="7" max="7" width="16" bestFit="1" customWidth="1"/>
    <col min="8" max="8" width="8.7109375" bestFit="1" customWidth="1"/>
    <col min="9" max="9" width="20.7109375" customWidth="1"/>
    <col min="10" max="10" width="20.140625" bestFit="1" customWidth="1"/>
    <col min="11" max="11" width="19" bestFit="1" customWidth="1"/>
    <col min="12" max="12" width="9.28515625" bestFit="1" customWidth="1"/>
    <col min="13" max="15" width="20.140625" bestFit="1" customWidth="1"/>
  </cols>
  <sheetData>
    <row r="2" spans="2:15" ht="15" x14ac:dyDescent="0.2">
      <c r="B2" s="5"/>
      <c r="C2" s="5"/>
      <c r="D2" s="5"/>
      <c r="E2" s="5"/>
      <c r="F2" s="5"/>
      <c r="I2" s="33" t="s">
        <v>403</v>
      </c>
      <c r="J2" s="5"/>
      <c r="K2" s="5"/>
      <c r="L2" s="5"/>
      <c r="M2" s="5"/>
      <c r="N2" s="5"/>
      <c r="O2" s="5"/>
    </row>
    <row r="3" spans="2:15" ht="15" x14ac:dyDescent="0.2">
      <c r="B3" s="5"/>
      <c r="C3" s="5"/>
      <c r="D3" s="5"/>
      <c r="E3" s="5"/>
      <c r="F3" s="5"/>
      <c r="I3" s="33" t="s">
        <v>468</v>
      </c>
      <c r="J3" s="5"/>
      <c r="K3" s="5"/>
      <c r="L3" s="5"/>
      <c r="M3" s="5"/>
      <c r="N3" s="5"/>
      <c r="O3" s="5"/>
    </row>
    <row r="4" spans="2:15" ht="15" x14ac:dyDescent="0.2">
      <c r="B4" s="5"/>
      <c r="C4" s="5"/>
      <c r="D4" s="5"/>
      <c r="E4" s="5"/>
      <c r="F4" s="5"/>
      <c r="I4" s="35" t="s">
        <v>272</v>
      </c>
      <c r="J4" s="5"/>
      <c r="K4" s="5"/>
      <c r="L4" s="5"/>
      <c r="M4" s="5"/>
      <c r="N4" s="5"/>
      <c r="O4" s="5"/>
    </row>
    <row r="5" spans="2:15" ht="15.75" thickBot="1" x14ac:dyDescent="0.25">
      <c r="B5" s="5"/>
      <c r="C5" s="5"/>
      <c r="D5" s="5"/>
      <c r="E5" s="5"/>
      <c r="F5" s="5"/>
      <c r="G5" s="5"/>
      <c r="H5" s="5"/>
      <c r="I5" s="5"/>
      <c r="J5" s="5"/>
      <c r="K5" s="35"/>
      <c r="L5" s="5"/>
      <c r="M5" s="5"/>
      <c r="N5" s="5"/>
      <c r="O5" s="32" t="s">
        <v>4</v>
      </c>
    </row>
    <row r="6" spans="2:15" ht="15" x14ac:dyDescent="0.2">
      <c r="B6" s="297" t="s">
        <v>405</v>
      </c>
      <c r="C6" s="298"/>
      <c r="D6" s="298"/>
      <c r="E6" s="298"/>
      <c r="F6" s="298"/>
      <c r="G6" s="298"/>
      <c r="H6" s="298"/>
      <c r="I6" s="298"/>
      <c r="J6" s="298"/>
      <c r="K6" s="298"/>
      <c r="L6" s="298"/>
      <c r="M6" s="298"/>
      <c r="N6" s="298"/>
      <c r="O6" s="299"/>
    </row>
    <row r="7" spans="2:15" ht="15" x14ac:dyDescent="0.2">
      <c r="B7" s="300" t="s">
        <v>2</v>
      </c>
      <c r="C7" s="309" t="s">
        <v>265</v>
      </c>
      <c r="D7" s="310" t="s">
        <v>254</v>
      </c>
      <c r="E7" s="310" t="s">
        <v>255</v>
      </c>
      <c r="F7" s="310" t="s">
        <v>256</v>
      </c>
      <c r="G7" s="310"/>
      <c r="H7" s="310"/>
      <c r="I7" s="310"/>
      <c r="J7" s="310" t="s">
        <v>257</v>
      </c>
      <c r="K7" s="310"/>
      <c r="L7" s="310"/>
      <c r="M7" s="310"/>
      <c r="N7" s="310" t="s">
        <v>258</v>
      </c>
      <c r="O7" s="306"/>
    </row>
    <row r="8" spans="2:15" ht="60" x14ac:dyDescent="0.2">
      <c r="B8" s="301"/>
      <c r="C8" s="303"/>
      <c r="D8" s="305"/>
      <c r="E8" s="305"/>
      <c r="F8" s="197" t="s">
        <v>259</v>
      </c>
      <c r="G8" s="197" t="s">
        <v>138</v>
      </c>
      <c r="H8" s="197" t="s">
        <v>260</v>
      </c>
      <c r="I8" s="197" t="s">
        <v>261</v>
      </c>
      <c r="J8" s="197" t="s">
        <v>262</v>
      </c>
      <c r="K8" s="197" t="s">
        <v>138</v>
      </c>
      <c r="L8" s="197" t="s">
        <v>263</v>
      </c>
      <c r="M8" s="197" t="s">
        <v>264</v>
      </c>
      <c r="N8" s="197" t="s">
        <v>259</v>
      </c>
      <c r="O8" s="261" t="s">
        <v>261</v>
      </c>
    </row>
    <row r="9" spans="2:15" ht="14.25" x14ac:dyDescent="0.2">
      <c r="B9" s="199">
        <v>1</v>
      </c>
      <c r="C9" s="200" t="s">
        <v>469</v>
      </c>
      <c r="D9" s="201">
        <v>1100</v>
      </c>
      <c r="E9" s="200"/>
      <c r="F9" s="198">
        <v>214.80770280500002</v>
      </c>
      <c r="G9" s="198">
        <v>0</v>
      </c>
      <c r="H9" s="198">
        <v>0</v>
      </c>
      <c r="I9" s="198">
        <f>F9+G9-H9</f>
        <v>214.80770280500002</v>
      </c>
      <c r="J9" s="198">
        <v>39.944657060000004</v>
      </c>
      <c r="K9" s="198">
        <v>6.9719216129999992</v>
      </c>
      <c r="L9" s="198">
        <v>0</v>
      </c>
      <c r="M9" s="198">
        <f>J9+K9-L9</f>
        <v>46.916578673000004</v>
      </c>
      <c r="N9" s="198">
        <f>F9-J9</f>
        <v>174.86304574500002</v>
      </c>
      <c r="O9" s="198">
        <f>I9-M9</f>
        <v>167.89112413200002</v>
      </c>
    </row>
    <row r="10" spans="2:15" ht="14.25" x14ac:dyDescent="0.2">
      <c r="B10" s="199">
        <v>2</v>
      </c>
      <c r="C10" s="200" t="s">
        <v>470</v>
      </c>
      <c r="D10" s="201">
        <v>1200</v>
      </c>
      <c r="E10" s="200"/>
      <c r="F10" s="198">
        <v>68.390140982000005</v>
      </c>
      <c r="G10" s="198">
        <v>0</v>
      </c>
      <c r="H10" s="198">
        <v>0</v>
      </c>
      <c r="I10" s="198">
        <f t="shared" ref="I10:I17" si="0">F10+G10-H10</f>
        <v>68.390140982000005</v>
      </c>
      <c r="J10" s="198">
        <v>31.994933727999996</v>
      </c>
      <c r="K10" s="198">
        <v>1.738599596</v>
      </c>
      <c r="L10" s="198">
        <v>0</v>
      </c>
      <c r="M10" s="198">
        <f t="shared" ref="M10:M17" si="1">J10+K10-L10</f>
        <v>33.733533323999993</v>
      </c>
      <c r="N10" s="198">
        <f t="shared" ref="N10:N17" si="2">F10-J10</f>
        <v>36.395207254000013</v>
      </c>
      <c r="O10" s="198">
        <f t="shared" ref="O10:O17" si="3">I10-M10</f>
        <v>34.656607658000013</v>
      </c>
    </row>
    <row r="11" spans="2:15" ht="14.25" x14ac:dyDescent="0.2">
      <c r="B11" s="199">
        <v>3</v>
      </c>
      <c r="C11" s="200" t="s">
        <v>471</v>
      </c>
      <c r="D11" s="201">
        <v>1300</v>
      </c>
      <c r="E11" s="200"/>
      <c r="F11" s="198">
        <v>2968.6736152200001</v>
      </c>
      <c r="G11" s="198">
        <v>3.4419544189999995</v>
      </c>
      <c r="H11" s="198">
        <v>0</v>
      </c>
      <c r="I11" s="198">
        <f t="shared" si="0"/>
        <v>2972.1155696390001</v>
      </c>
      <c r="J11" s="198">
        <v>1362.405117282</v>
      </c>
      <c r="K11" s="198">
        <v>77.025906444</v>
      </c>
      <c r="L11" s="198">
        <v>0</v>
      </c>
      <c r="M11" s="198">
        <f t="shared" si="1"/>
        <v>1439.4310237259999</v>
      </c>
      <c r="N11" s="198">
        <f t="shared" si="2"/>
        <v>1606.2684979380001</v>
      </c>
      <c r="O11" s="198">
        <f t="shared" si="3"/>
        <v>1532.6845459130002</v>
      </c>
    </row>
    <row r="12" spans="2:15" ht="14.25" x14ac:dyDescent="0.2">
      <c r="B12" s="199">
        <v>4</v>
      </c>
      <c r="C12" s="200" t="s">
        <v>472</v>
      </c>
      <c r="D12" s="201">
        <v>1400</v>
      </c>
      <c r="E12" s="200"/>
      <c r="F12" s="198">
        <v>172.69850467399999</v>
      </c>
      <c r="G12" s="198">
        <v>0</v>
      </c>
      <c r="H12" s="198">
        <v>0</v>
      </c>
      <c r="I12" s="198">
        <f t="shared" si="0"/>
        <v>172.69850467399999</v>
      </c>
      <c r="J12" s="198">
        <v>71.60410597100001</v>
      </c>
      <c r="K12" s="198">
        <v>5.9467293359999998</v>
      </c>
      <c r="L12" s="198">
        <v>0</v>
      </c>
      <c r="M12" s="198">
        <f t="shared" si="1"/>
        <v>77.550835307000014</v>
      </c>
      <c r="N12" s="198">
        <f t="shared" si="2"/>
        <v>101.09439870299998</v>
      </c>
      <c r="O12" s="198">
        <f t="shared" si="3"/>
        <v>95.147669366999978</v>
      </c>
    </row>
    <row r="13" spans="2:15" ht="14.25" x14ac:dyDescent="0.2">
      <c r="B13" s="199">
        <v>5</v>
      </c>
      <c r="C13" s="200" t="s">
        <v>473</v>
      </c>
      <c r="D13" s="201">
        <v>1500</v>
      </c>
      <c r="E13" s="200"/>
      <c r="F13" s="198">
        <v>543.04019183800006</v>
      </c>
      <c r="G13" s="198">
        <v>0.16785145500000001</v>
      </c>
      <c r="H13" s="198">
        <v>0</v>
      </c>
      <c r="I13" s="198">
        <f t="shared" si="0"/>
        <v>543.20804329300006</v>
      </c>
      <c r="J13" s="198">
        <v>272.31554000300002</v>
      </c>
      <c r="K13" s="198">
        <v>10.427234178000001</v>
      </c>
      <c r="L13" s="198">
        <v>0</v>
      </c>
      <c r="M13" s="198">
        <f t="shared" si="1"/>
        <v>282.74277418100002</v>
      </c>
      <c r="N13" s="198">
        <f t="shared" si="2"/>
        <v>270.72465183500003</v>
      </c>
      <c r="O13" s="198">
        <f t="shared" si="3"/>
        <v>260.46526911200004</v>
      </c>
    </row>
    <row r="14" spans="2:15" ht="14.25" x14ac:dyDescent="0.2">
      <c r="B14" s="199">
        <v>6</v>
      </c>
      <c r="C14" s="200" t="s">
        <v>474</v>
      </c>
      <c r="D14" s="201">
        <v>1600</v>
      </c>
      <c r="E14" s="200"/>
      <c r="F14" s="198">
        <v>14.246456906999999</v>
      </c>
      <c r="G14" s="198">
        <v>0</v>
      </c>
      <c r="H14" s="198">
        <v>0</v>
      </c>
      <c r="I14" s="198">
        <f t="shared" si="0"/>
        <v>14.246456906999999</v>
      </c>
      <c r="J14" s="198">
        <v>2.7164207399999998</v>
      </c>
      <c r="K14" s="198">
        <v>0.45933593099999998</v>
      </c>
      <c r="L14" s="198">
        <v>0</v>
      </c>
      <c r="M14" s="198">
        <f t="shared" si="1"/>
        <v>3.1757566709999998</v>
      </c>
      <c r="N14" s="198">
        <f t="shared" si="2"/>
        <v>11.530036166999999</v>
      </c>
      <c r="O14" s="198">
        <f t="shared" si="3"/>
        <v>11.070700235999999</v>
      </c>
    </row>
    <row r="15" spans="2:15" ht="14.25" x14ac:dyDescent="0.2">
      <c r="B15" s="199">
        <v>7</v>
      </c>
      <c r="C15" s="200" t="s">
        <v>475</v>
      </c>
      <c r="D15" s="201">
        <v>1800</v>
      </c>
      <c r="E15" s="200"/>
      <c r="F15" s="198">
        <v>0.23303650200000001</v>
      </c>
      <c r="G15" s="198">
        <v>0</v>
      </c>
      <c r="H15" s="198">
        <v>0</v>
      </c>
      <c r="I15" s="198">
        <f t="shared" si="0"/>
        <v>0.23303650200000001</v>
      </c>
      <c r="J15" s="198">
        <v>0.13793164099999999</v>
      </c>
      <c r="K15" s="198">
        <v>2.1854815999999999E-2</v>
      </c>
      <c r="L15" s="198">
        <v>0</v>
      </c>
      <c r="M15" s="198">
        <f t="shared" si="1"/>
        <v>0.15978645699999999</v>
      </c>
      <c r="N15" s="198">
        <f t="shared" si="2"/>
        <v>9.5104861000000013E-2</v>
      </c>
      <c r="O15" s="198">
        <f t="shared" si="3"/>
        <v>7.3250045000000014E-2</v>
      </c>
    </row>
    <row r="16" spans="2:15" ht="14.25" x14ac:dyDescent="0.2">
      <c r="B16" s="199">
        <v>8</v>
      </c>
      <c r="C16" s="200" t="s">
        <v>411</v>
      </c>
      <c r="D16" s="201">
        <v>1900</v>
      </c>
      <c r="E16" s="200"/>
      <c r="F16" s="198">
        <v>0.196849198</v>
      </c>
      <c r="G16" s="198">
        <v>0</v>
      </c>
      <c r="H16" s="198">
        <v>0</v>
      </c>
      <c r="I16" s="198">
        <f t="shared" si="0"/>
        <v>0.196849198</v>
      </c>
      <c r="J16" s="198">
        <v>0.17584992399999999</v>
      </c>
      <c r="K16" s="198">
        <v>2.0070791000000001E-2</v>
      </c>
      <c r="L16" s="198">
        <v>0</v>
      </c>
      <c r="M16" s="198">
        <f t="shared" si="1"/>
        <v>0.195920715</v>
      </c>
      <c r="N16" s="198">
        <f t="shared" si="2"/>
        <v>2.0999274000000012E-2</v>
      </c>
      <c r="O16" s="198">
        <f t="shared" si="3"/>
        <v>9.2848300000000772E-4</v>
      </c>
    </row>
    <row r="17" spans="2:15" ht="14.25" x14ac:dyDescent="0.2">
      <c r="B17" s="199">
        <v>9</v>
      </c>
      <c r="C17" s="200" t="s">
        <v>476</v>
      </c>
      <c r="D17" s="201">
        <v>2100</v>
      </c>
      <c r="E17" s="200"/>
      <c r="F17" s="198">
        <v>5.2523480000000004E-2</v>
      </c>
      <c r="G17" s="198">
        <v>0</v>
      </c>
      <c r="H17" s="198">
        <v>0</v>
      </c>
      <c r="I17" s="198">
        <f t="shared" si="0"/>
        <v>5.2523480000000004E-2</v>
      </c>
      <c r="J17" s="198">
        <v>2.3034764999999999E-2</v>
      </c>
      <c r="K17" s="198">
        <v>8.0570620000000003E-3</v>
      </c>
      <c r="L17" s="198">
        <v>0</v>
      </c>
      <c r="M17" s="198">
        <f t="shared" si="1"/>
        <v>3.1091826999999999E-2</v>
      </c>
      <c r="N17" s="198">
        <f t="shared" si="2"/>
        <v>2.9488715000000006E-2</v>
      </c>
      <c r="O17" s="198">
        <f t="shared" si="3"/>
        <v>2.1431653000000005E-2</v>
      </c>
    </row>
    <row r="18" spans="2:15" ht="15.75" thickBot="1" x14ac:dyDescent="0.25">
      <c r="B18" s="66"/>
      <c r="C18" s="67" t="s">
        <v>139</v>
      </c>
      <c r="D18" s="67"/>
      <c r="E18" s="118">
        <v>0</v>
      </c>
      <c r="F18" s="180">
        <f t="shared" ref="F18:O18" si="4">SUM(F9:F17)</f>
        <v>3982.3390216060006</v>
      </c>
      <c r="G18" s="180">
        <f t="shared" si="4"/>
        <v>3.6098058739999996</v>
      </c>
      <c r="H18" s="180">
        <f t="shared" si="4"/>
        <v>0</v>
      </c>
      <c r="I18" s="180">
        <f t="shared" si="4"/>
        <v>3985.9488274800001</v>
      </c>
      <c r="J18" s="181">
        <f t="shared" si="4"/>
        <v>1781.3175911140002</v>
      </c>
      <c r="K18" s="180">
        <f t="shared" si="4"/>
        <v>102.619709767</v>
      </c>
      <c r="L18" s="182">
        <f t="shared" si="4"/>
        <v>0</v>
      </c>
      <c r="M18" s="181">
        <f t="shared" si="4"/>
        <v>1883.9373008810001</v>
      </c>
      <c r="N18" s="180">
        <f t="shared" si="4"/>
        <v>2201.0214304920005</v>
      </c>
      <c r="O18" s="180">
        <f t="shared" si="4"/>
        <v>2102.0115265989998</v>
      </c>
    </row>
    <row r="19" spans="2:15" ht="14.25" x14ac:dyDescent="0.2">
      <c r="B19" s="5"/>
      <c r="C19" s="5"/>
      <c r="D19" s="5"/>
      <c r="E19" s="5"/>
      <c r="F19" s="5"/>
      <c r="G19" s="5"/>
      <c r="H19" s="5"/>
      <c r="I19" s="5"/>
      <c r="J19" s="5"/>
      <c r="K19" s="5"/>
      <c r="L19" s="5"/>
      <c r="M19" s="5"/>
      <c r="N19" s="5"/>
      <c r="O19" s="5"/>
    </row>
    <row r="20" spans="2:15" x14ac:dyDescent="0.2">
      <c r="F20" s="183"/>
      <c r="G20" s="183"/>
      <c r="H20" s="183"/>
      <c r="I20" s="183"/>
      <c r="J20" s="183"/>
      <c r="K20" s="183"/>
      <c r="L20" s="183"/>
    </row>
    <row r="21" spans="2:15" x14ac:dyDescent="0.2">
      <c r="F21" s="183"/>
      <c r="G21" s="183"/>
      <c r="H21" s="183"/>
      <c r="I21" s="183"/>
      <c r="J21" s="183"/>
      <c r="K21" s="183"/>
      <c r="L21" s="183"/>
    </row>
    <row r="22" spans="2:15" x14ac:dyDescent="0.2">
      <c r="F22" s="183"/>
      <c r="G22" s="183"/>
      <c r="H22" s="183"/>
      <c r="I22" s="183"/>
      <c r="J22" s="183"/>
      <c r="K22" s="183"/>
      <c r="L22" s="183"/>
    </row>
    <row r="23" spans="2:15" x14ac:dyDescent="0.2">
      <c r="F23" s="183"/>
      <c r="G23" s="183"/>
      <c r="H23" s="183"/>
      <c r="I23" s="183"/>
      <c r="J23" s="183"/>
      <c r="K23" s="183"/>
      <c r="L23" s="183"/>
    </row>
    <row r="24" spans="2:15" x14ac:dyDescent="0.2">
      <c r="F24" s="183"/>
      <c r="G24" s="183"/>
      <c r="H24" s="183"/>
      <c r="I24" s="183"/>
      <c r="J24" s="183"/>
      <c r="K24" s="183"/>
      <c r="L24" s="183"/>
    </row>
    <row r="25" spans="2:15" x14ac:dyDescent="0.2">
      <c r="F25" s="183"/>
      <c r="G25" s="183"/>
      <c r="H25" s="183"/>
      <c r="I25" s="183"/>
      <c r="J25" s="183"/>
      <c r="K25" s="183"/>
      <c r="L25" s="183"/>
    </row>
    <row r="26" spans="2:15" x14ac:dyDescent="0.2">
      <c r="F26" s="183"/>
      <c r="G26" s="183"/>
      <c r="H26" s="183"/>
      <c r="I26" s="183"/>
      <c r="J26" s="183"/>
      <c r="K26" s="183"/>
      <c r="L26" s="183"/>
    </row>
    <row r="27" spans="2:15" x14ac:dyDescent="0.2">
      <c r="F27" s="183"/>
      <c r="G27" s="183"/>
      <c r="H27" s="183"/>
      <c r="I27" s="183"/>
      <c r="J27" s="183"/>
      <c r="K27" s="183"/>
      <c r="L27" s="183"/>
    </row>
    <row r="28" spans="2:15" x14ac:dyDescent="0.2">
      <c r="F28" s="183"/>
      <c r="G28" s="183"/>
      <c r="H28" s="183"/>
      <c r="I28" s="183"/>
      <c r="J28" s="183"/>
      <c r="K28" s="183"/>
      <c r="L28" s="183"/>
    </row>
  </sheetData>
  <mergeCells count="8">
    <mergeCell ref="B6:O6"/>
    <mergeCell ref="B7:B8"/>
    <mergeCell ref="C7:C8"/>
    <mergeCell ref="D7:D8"/>
    <mergeCell ref="E7:E8"/>
    <mergeCell ref="F7:I7"/>
    <mergeCell ref="J7:M7"/>
    <mergeCell ref="N7:O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49"/>
  <sheetViews>
    <sheetView topLeftCell="D1" zoomScale="87" zoomScaleNormal="87" zoomScaleSheetLayoutView="90" workbookViewId="0">
      <selection activeCell="L16" sqref="L16"/>
    </sheetView>
  </sheetViews>
  <sheetFormatPr defaultColWidth="9.28515625" defaultRowHeight="14.25" x14ac:dyDescent="0.2"/>
  <cols>
    <col min="1" max="1" width="2.7109375" style="5" customWidth="1"/>
    <col min="2" max="2" width="6.28515625" style="5" customWidth="1"/>
    <col min="3" max="3" width="56.7109375" style="5" customWidth="1"/>
    <col min="4" max="4" width="13.7109375" style="5" bestFit="1" customWidth="1"/>
    <col min="5" max="5" width="12.5703125" style="5" bestFit="1" customWidth="1"/>
    <col min="6" max="6" width="13.42578125" style="5" bestFit="1" customWidth="1"/>
    <col min="7" max="7" width="13.7109375" style="5" bestFit="1" customWidth="1"/>
    <col min="8" max="9" width="12.5703125" style="5" customWidth="1"/>
    <col min="10" max="13" width="11.7109375" style="5" bestFit="1" customWidth="1"/>
    <col min="14" max="16384" width="9.28515625" style="5"/>
  </cols>
  <sheetData>
    <row r="1" spans="2:10" ht="15" x14ac:dyDescent="0.2">
      <c r="B1" s="24"/>
    </row>
    <row r="2" spans="2:10" ht="15" x14ac:dyDescent="0.2">
      <c r="E2" s="32" t="s">
        <v>403</v>
      </c>
    </row>
    <row r="3" spans="2:10" ht="15" x14ac:dyDescent="0.2">
      <c r="E3" s="32" t="s">
        <v>467</v>
      </c>
    </row>
    <row r="4" spans="2:10" ht="15" x14ac:dyDescent="0.2">
      <c r="E4" s="35" t="s">
        <v>274</v>
      </c>
    </row>
    <row r="5" spans="2:10" ht="15" x14ac:dyDescent="0.2">
      <c r="B5" s="33" t="s">
        <v>57</v>
      </c>
      <c r="C5" s="24" t="s">
        <v>275</v>
      </c>
      <c r="J5" s="26" t="s">
        <v>4</v>
      </c>
    </row>
    <row r="6" spans="2:10" s="13" customFormat="1" ht="15" customHeight="1" x14ac:dyDescent="0.2">
      <c r="B6" s="279" t="s">
        <v>193</v>
      </c>
      <c r="C6" s="282" t="s">
        <v>18</v>
      </c>
      <c r="D6" s="286" t="s">
        <v>405</v>
      </c>
      <c r="E6" s="287"/>
      <c r="F6" s="288"/>
      <c r="G6" s="284" t="s">
        <v>406</v>
      </c>
      <c r="H6" s="284"/>
      <c r="I6" s="311" t="s">
        <v>466</v>
      </c>
      <c r="J6" s="312"/>
    </row>
    <row r="7" spans="2:10" s="13" customFormat="1" ht="45" x14ac:dyDescent="0.2">
      <c r="B7" s="280"/>
      <c r="C7" s="282"/>
      <c r="D7" s="15" t="s">
        <v>370</v>
      </c>
      <c r="E7" s="15" t="s">
        <v>240</v>
      </c>
      <c r="F7" s="15" t="s">
        <v>208</v>
      </c>
      <c r="G7" s="15" t="s">
        <v>370</v>
      </c>
      <c r="H7" s="15" t="s">
        <v>239</v>
      </c>
      <c r="I7" s="15" t="s">
        <v>370</v>
      </c>
      <c r="J7" s="15" t="s">
        <v>239</v>
      </c>
    </row>
    <row r="8" spans="2:10" s="13" customFormat="1" ht="30" x14ac:dyDescent="0.2">
      <c r="B8" s="281"/>
      <c r="C8" s="283"/>
      <c r="D8" s="15" t="s">
        <v>10</v>
      </c>
      <c r="E8" s="15" t="s">
        <v>12</v>
      </c>
      <c r="F8" s="15" t="s">
        <v>231</v>
      </c>
      <c r="G8" s="15" t="s">
        <v>10</v>
      </c>
      <c r="H8" s="15" t="s">
        <v>463</v>
      </c>
      <c r="I8" s="15" t="s">
        <v>10</v>
      </c>
      <c r="J8" s="15" t="s">
        <v>463</v>
      </c>
    </row>
    <row r="9" spans="2:10" x14ac:dyDescent="0.2">
      <c r="B9" s="61">
        <v>1</v>
      </c>
      <c r="C9" s="27" t="s">
        <v>176</v>
      </c>
      <c r="D9" s="2"/>
      <c r="E9" s="121">
        <f>'F4'!F19*70%</f>
        <v>2638.6219999999998</v>
      </c>
      <c r="F9" s="121">
        <f>E9</f>
        <v>2638.6219999999998</v>
      </c>
      <c r="G9" s="21"/>
      <c r="H9" s="113">
        <f>E9+E13</f>
        <v>2641.3294999999998</v>
      </c>
      <c r="I9" s="21"/>
      <c r="J9" s="113">
        <f>H9+H13</f>
        <v>2645.2294999999999</v>
      </c>
    </row>
    <row r="10" spans="2:10" x14ac:dyDescent="0.2">
      <c r="B10" s="20">
        <f>B9+1</f>
        <v>2</v>
      </c>
      <c r="C10" s="27" t="s">
        <v>177</v>
      </c>
      <c r="D10" s="2"/>
      <c r="E10" s="121">
        <f>'F4'!J19</f>
        <v>1471.11</v>
      </c>
      <c r="F10" s="121">
        <f>E10</f>
        <v>1471.11</v>
      </c>
      <c r="G10" s="113"/>
      <c r="H10" s="113">
        <f>'F4'!J33</f>
        <v>1584.23</v>
      </c>
      <c r="I10" s="21"/>
      <c r="J10" s="113">
        <f>H10+H14</f>
        <v>1697.6</v>
      </c>
    </row>
    <row r="11" spans="2:10" ht="15" x14ac:dyDescent="0.2">
      <c r="B11" s="20">
        <f t="shared" ref="B11:B21" si="0">B10+1</f>
        <v>3</v>
      </c>
      <c r="C11" s="29" t="s">
        <v>178</v>
      </c>
      <c r="D11" s="117">
        <f>D9-D10</f>
        <v>0</v>
      </c>
      <c r="E11" s="117">
        <f>IF((E9-E10)&lt;0,0,(E9-E10))</f>
        <v>1167.5119999999999</v>
      </c>
      <c r="F11" s="117">
        <f>IF((F9-F10)&lt;0,0,(F9-F10))</f>
        <v>1167.5119999999999</v>
      </c>
      <c r="G11" s="117">
        <f>IF((G9-G10)&lt;0,0,(G9-G10))</f>
        <v>0</v>
      </c>
      <c r="H11" s="117">
        <f>IF((H9-H10)&lt;0,0,(H9-H10))</f>
        <v>1057.0994999999998</v>
      </c>
      <c r="I11" s="117"/>
      <c r="J11" s="117">
        <f>IF((J9-J10)&lt;0,0,(J9-J10))</f>
        <v>947.62950000000001</v>
      </c>
    </row>
    <row r="12" spans="2:10" ht="28.5" x14ac:dyDescent="0.2">
      <c r="B12" s="20">
        <f t="shared" si="0"/>
        <v>4</v>
      </c>
      <c r="C12" s="70" t="s">
        <v>179</v>
      </c>
      <c r="D12" s="120"/>
      <c r="E12" s="120"/>
      <c r="F12" s="120"/>
      <c r="G12" s="120"/>
      <c r="H12" s="120"/>
      <c r="I12" s="120"/>
      <c r="J12" s="120"/>
    </row>
    <row r="13" spans="2:10" s="32" customFormat="1" ht="28.5" x14ac:dyDescent="0.2">
      <c r="B13" s="20">
        <f t="shared" si="0"/>
        <v>5</v>
      </c>
      <c r="C13" s="37" t="s">
        <v>400</v>
      </c>
      <c r="D13" s="120"/>
      <c r="E13" s="126">
        <f>'F3'!E12*75%</f>
        <v>2.7075</v>
      </c>
      <c r="F13" s="126">
        <f>'F3'!F12*75%</f>
        <v>2.7075</v>
      </c>
      <c r="G13" s="126">
        <f>'F3'!G12*75%</f>
        <v>0</v>
      </c>
      <c r="H13" s="126">
        <f>'F3'!H12*75%</f>
        <v>3.9000000000000004</v>
      </c>
      <c r="I13" s="126">
        <f>'F3'!I12*75%</f>
        <v>0</v>
      </c>
      <c r="J13" s="126">
        <f>'F3'!J12*75%</f>
        <v>69.75</v>
      </c>
    </row>
    <row r="14" spans="2:10" x14ac:dyDescent="0.2">
      <c r="B14" s="20">
        <f t="shared" si="0"/>
        <v>6</v>
      </c>
      <c r="C14" s="70" t="s">
        <v>184</v>
      </c>
      <c r="D14" s="134"/>
      <c r="E14" s="134">
        <f>'F1'!G11</f>
        <v>113.12</v>
      </c>
      <c r="F14" s="134">
        <f>'F1'!H11</f>
        <v>113.12</v>
      </c>
      <c r="G14" s="134"/>
      <c r="H14" s="134">
        <f>'F1'!J11</f>
        <v>113.37</v>
      </c>
      <c r="I14" s="134"/>
      <c r="J14" s="134">
        <f>'F1'!L11</f>
        <v>116.31</v>
      </c>
    </row>
    <row r="15" spans="2:10" ht="15" x14ac:dyDescent="0.2">
      <c r="B15" s="20">
        <f t="shared" si="0"/>
        <v>7</v>
      </c>
      <c r="C15" s="27" t="s">
        <v>180</v>
      </c>
      <c r="D15" s="117"/>
      <c r="E15" s="117">
        <f>IF((E11-E12+E13-E14)&lt;0,0,(E11-E12+E13-E14))</f>
        <v>1057.0994999999998</v>
      </c>
      <c r="F15" s="117">
        <f>IF((F11-F12+F13-F14)&lt;0,0,(F11-F12+F13-F14))</f>
        <v>1057.0994999999998</v>
      </c>
      <c r="G15" s="117"/>
      <c r="H15" s="117">
        <f>IF((H11-H12+H13-H14)&lt;0,0,(H11-H12+H13-H14))</f>
        <v>947.62949999999989</v>
      </c>
      <c r="I15" s="117"/>
      <c r="J15" s="117">
        <f>IF((J11-J12+J13-J14)&lt;0,0,(J11-J12+J13-J14))</f>
        <v>901.06950000000006</v>
      </c>
    </row>
    <row r="16" spans="2:10" ht="15" x14ac:dyDescent="0.2">
      <c r="B16" s="20">
        <f t="shared" si="0"/>
        <v>8</v>
      </c>
      <c r="C16" s="27" t="s">
        <v>181</v>
      </c>
      <c r="D16" s="117"/>
      <c r="E16" s="117">
        <f t="shared" ref="E16:J16" si="1">E9-E12+E13-E14</f>
        <v>2528.2094999999999</v>
      </c>
      <c r="F16" s="117">
        <f t="shared" si="1"/>
        <v>2528.2094999999999</v>
      </c>
      <c r="G16" s="117"/>
      <c r="H16" s="117">
        <f t="shared" si="1"/>
        <v>2531.8595</v>
      </c>
      <c r="I16" s="117"/>
      <c r="J16" s="117">
        <f t="shared" si="1"/>
        <v>2598.6695</v>
      </c>
    </row>
    <row r="17" spans="2:10" ht="15" x14ac:dyDescent="0.2">
      <c r="B17" s="20">
        <f t="shared" si="0"/>
        <v>9</v>
      </c>
      <c r="C17" s="27" t="s">
        <v>214</v>
      </c>
      <c r="D17" s="117"/>
      <c r="E17" s="117">
        <f t="shared" ref="E17:J17" si="2">AVERAGE(E11,E15)</f>
        <v>1112.30575</v>
      </c>
      <c r="F17" s="117">
        <f t="shared" si="2"/>
        <v>1112.30575</v>
      </c>
      <c r="G17" s="117"/>
      <c r="H17" s="117">
        <f t="shared" si="2"/>
        <v>1002.3644999999999</v>
      </c>
      <c r="I17" s="117"/>
      <c r="J17" s="117">
        <f t="shared" si="2"/>
        <v>924.34950000000003</v>
      </c>
    </row>
    <row r="18" spans="2:10" x14ac:dyDescent="0.2">
      <c r="B18" s="20">
        <f t="shared" si="0"/>
        <v>10</v>
      </c>
      <c r="C18" s="70" t="s">
        <v>213</v>
      </c>
      <c r="D18" s="119"/>
      <c r="E18" s="119">
        <v>0.1027</v>
      </c>
      <c r="F18" s="119">
        <f>E18</f>
        <v>0.1027</v>
      </c>
      <c r="G18" s="119"/>
      <c r="H18" s="119">
        <v>0.10299999999999999</v>
      </c>
      <c r="I18" s="119"/>
      <c r="J18" s="119">
        <v>0.10299999999999999</v>
      </c>
    </row>
    <row r="19" spans="2:10" ht="15" x14ac:dyDescent="0.2">
      <c r="B19" s="20">
        <f t="shared" si="0"/>
        <v>11</v>
      </c>
      <c r="C19" s="27" t="s">
        <v>276</v>
      </c>
      <c r="D19" s="117">
        <f>D17*D18</f>
        <v>0</v>
      </c>
      <c r="E19" s="117">
        <f>ROUND(E17*E18,2)</f>
        <v>114.23</v>
      </c>
      <c r="F19" s="117">
        <f t="shared" ref="F19:J19" si="3">ROUND(F17*F18,2)</f>
        <v>114.23</v>
      </c>
      <c r="G19" s="117">
        <f t="shared" si="3"/>
        <v>0</v>
      </c>
      <c r="H19" s="117">
        <f t="shared" si="3"/>
        <v>103.24</v>
      </c>
      <c r="I19" s="117">
        <f t="shared" si="3"/>
        <v>0</v>
      </c>
      <c r="J19" s="117">
        <f t="shared" si="3"/>
        <v>95.21</v>
      </c>
    </row>
    <row r="20" spans="2:10" x14ac:dyDescent="0.2">
      <c r="B20" s="20">
        <f t="shared" si="0"/>
        <v>12</v>
      </c>
      <c r="C20" s="27" t="s">
        <v>278</v>
      </c>
      <c r="D20" s="71"/>
      <c r="E20" s="71"/>
      <c r="F20" s="71"/>
      <c r="G20" s="71"/>
      <c r="H20" s="71"/>
      <c r="I20" s="71"/>
      <c r="J20" s="71"/>
    </row>
    <row r="21" spans="2:10" ht="15" x14ac:dyDescent="0.2">
      <c r="B21" s="20">
        <f t="shared" si="0"/>
        <v>13</v>
      </c>
      <c r="C21" s="27" t="s">
        <v>279</v>
      </c>
      <c r="D21" s="117">
        <v>96.93</v>
      </c>
      <c r="E21" s="117">
        <f>IF((E19+E20)&lt;0,0,(E19+E20))</f>
        <v>114.23</v>
      </c>
      <c r="F21" s="117">
        <f>IF((F19+F20)&lt;0,0,(F19+F20))</f>
        <v>114.23</v>
      </c>
      <c r="G21" s="117">
        <v>83.78</v>
      </c>
      <c r="H21" s="117">
        <f>IF((H19+H20)&lt;0,0,(H19+H20))</f>
        <v>103.24</v>
      </c>
      <c r="I21" s="117">
        <v>70.62</v>
      </c>
      <c r="J21" s="117">
        <f>IF((J19+J20)&lt;0,0,(J19+J20))</f>
        <v>95.21</v>
      </c>
    </row>
    <row r="22" spans="2:10" x14ac:dyDescent="0.2">
      <c r="B22" s="34"/>
      <c r="C22" s="5" t="s">
        <v>242</v>
      </c>
    </row>
    <row r="23" spans="2:10" x14ac:dyDescent="0.2">
      <c r="C23" s="5" t="s">
        <v>401</v>
      </c>
    </row>
    <row r="25" spans="2:10" ht="15" x14ac:dyDescent="0.2">
      <c r="B25" s="33" t="s">
        <v>62</v>
      </c>
      <c r="C25" s="24" t="s">
        <v>277</v>
      </c>
    </row>
    <row r="27" spans="2:10" ht="15" customHeight="1" x14ac:dyDescent="0.2">
      <c r="B27" s="279" t="s">
        <v>193</v>
      </c>
      <c r="C27" s="282" t="s">
        <v>18</v>
      </c>
      <c r="D27" s="69" t="s">
        <v>404</v>
      </c>
      <c r="E27" s="69" t="s">
        <v>405</v>
      </c>
      <c r="F27" s="15" t="s">
        <v>406</v>
      </c>
    </row>
    <row r="28" spans="2:10" ht="15" x14ac:dyDescent="0.2">
      <c r="B28" s="280"/>
      <c r="C28" s="282"/>
      <c r="D28" s="15" t="s">
        <v>240</v>
      </c>
      <c r="E28" s="15" t="s">
        <v>239</v>
      </c>
      <c r="F28" s="15" t="s">
        <v>239</v>
      </c>
    </row>
    <row r="29" spans="2:10" ht="15" x14ac:dyDescent="0.2">
      <c r="B29" s="281"/>
      <c r="C29" s="283"/>
      <c r="D29" s="15" t="s">
        <v>12</v>
      </c>
      <c r="E29" s="15" t="s">
        <v>5</v>
      </c>
      <c r="F29" s="15" t="s">
        <v>8</v>
      </c>
    </row>
    <row r="30" spans="2:10" ht="15" x14ac:dyDescent="0.2">
      <c r="B30" s="20">
        <v>1</v>
      </c>
      <c r="C30" s="241" t="s">
        <v>489</v>
      </c>
      <c r="D30" s="27"/>
      <c r="E30" s="27"/>
      <c r="F30" s="27"/>
    </row>
    <row r="31" spans="2:10" x14ac:dyDescent="0.2">
      <c r="B31" s="27"/>
      <c r="C31" s="27" t="s">
        <v>13</v>
      </c>
      <c r="D31" s="267">
        <v>1035.6400000000001</v>
      </c>
      <c r="E31" s="27">
        <v>782.0100000000001</v>
      </c>
      <c r="F31" s="27">
        <v>528.3900000000001</v>
      </c>
    </row>
    <row r="32" spans="2:10" x14ac:dyDescent="0.2">
      <c r="B32" s="27"/>
      <c r="C32" s="27" t="s">
        <v>168</v>
      </c>
      <c r="D32" s="267">
        <v>0</v>
      </c>
      <c r="E32" s="27">
        <v>0</v>
      </c>
      <c r="F32" s="27">
        <v>0</v>
      </c>
    </row>
    <row r="33" spans="2:6" x14ac:dyDescent="0.2">
      <c r="B33" s="27"/>
      <c r="C33" s="27" t="s">
        <v>14</v>
      </c>
      <c r="D33" s="267">
        <v>253.63</v>
      </c>
      <c r="E33" s="27">
        <v>253.62</v>
      </c>
      <c r="F33" s="27">
        <v>253.63</v>
      </c>
    </row>
    <row r="34" spans="2:6" ht="15" x14ac:dyDescent="0.2">
      <c r="B34" s="27"/>
      <c r="C34" s="27" t="s">
        <v>15</v>
      </c>
      <c r="D34" s="115">
        <f>D31+D32-D33</f>
        <v>782.0100000000001</v>
      </c>
      <c r="E34" s="115">
        <f>E31+E32-E33</f>
        <v>528.3900000000001</v>
      </c>
      <c r="F34" s="115">
        <f>F31+F32-F33</f>
        <v>274.7600000000001</v>
      </c>
    </row>
    <row r="35" spans="2:6" ht="15" x14ac:dyDescent="0.2">
      <c r="B35" s="27"/>
      <c r="C35" s="27" t="s">
        <v>215</v>
      </c>
      <c r="D35" s="115">
        <v>919.02</v>
      </c>
      <c r="E35" s="115">
        <v>665.72815533980577</v>
      </c>
      <c r="F35" s="115">
        <v>412.13592233009706</v>
      </c>
    </row>
    <row r="36" spans="2:6" x14ac:dyDescent="0.2">
      <c r="B36" s="27"/>
      <c r="C36" s="27" t="s">
        <v>16</v>
      </c>
      <c r="D36" s="121">
        <v>10.27</v>
      </c>
      <c r="E36" s="121">
        <v>10.3</v>
      </c>
      <c r="F36" s="121">
        <v>10.3</v>
      </c>
    </row>
    <row r="37" spans="2:6" ht="15" x14ac:dyDescent="0.2">
      <c r="B37" s="27"/>
      <c r="C37" s="27" t="s">
        <v>276</v>
      </c>
      <c r="D37" s="115">
        <v>94.41</v>
      </c>
      <c r="E37" s="115">
        <v>68.569999999999993</v>
      </c>
      <c r="F37" s="115">
        <v>42.45</v>
      </c>
    </row>
    <row r="38" spans="2:6" x14ac:dyDescent="0.2">
      <c r="B38" s="27"/>
      <c r="C38" s="27" t="s">
        <v>278</v>
      </c>
      <c r="D38" s="121">
        <v>0</v>
      </c>
      <c r="E38" s="121">
        <v>0</v>
      </c>
      <c r="F38" s="121">
        <v>0</v>
      </c>
    </row>
    <row r="39" spans="2:6" ht="15" x14ac:dyDescent="0.2">
      <c r="B39" s="27"/>
      <c r="C39" s="27" t="s">
        <v>279</v>
      </c>
      <c r="D39" s="115">
        <f>D37+D38</f>
        <v>94.41</v>
      </c>
      <c r="E39" s="115">
        <f>E37+E38</f>
        <v>68.569999999999993</v>
      </c>
      <c r="F39" s="115">
        <f>F37+F38</f>
        <v>42.45</v>
      </c>
    </row>
    <row r="40" spans="2:6" ht="15" x14ac:dyDescent="0.2">
      <c r="B40" s="20"/>
      <c r="C40" s="38" t="s">
        <v>139</v>
      </c>
      <c r="D40" s="121"/>
      <c r="E40" s="121"/>
      <c r="F40" s="121"/>
    </row>
    <row r="41" spans="2:6" ht="15" x14ac:dyDescent="0.2">
      <c r="B41" s="27"/>
      <c r="C41" s="27" t="s">
        <v>13</v>
      </c>
      <c r="D41" s="115">
        <f>D31</f>
        <v>1035.6400000000001</v>
      </c>
      <c r="E41" s="115">
        <f t="shared" ref="E41:F41" si="4">E31</f>
        <v>782.0100000000001</v>
      </c>
      <c r="F41" s="115">
        <f t="shared" si="4"/>
        <v>528.3900000000001</v>
      </c>
    </row>
    <row r="42" spans="2:6" ht="15" x14ac:dyDescent="0.2">
      <c r="B42" s="27"/>
      <c r="C42" s="27" t="s">
        <v>168</v>
      </c>
      <c r="D42" s="115">
        <f>D32</f>
        <v>0</v>
      </c>
      <c r="E42" s="115">
        <f t="shared" ref="E42:F42" si="5">E32</f>
        <v>0</v>
      </c>
      <c r="F42" s="115">
        <f t="shared" si="5"/>
        <v>0</v>
      </c>
    </row>
    <row r="43" spans="2:6" ht="15" x14ac:dyDescent="0.2">
      <c r="B43" s="27"/>
      <c r="C43" s="27" t="s">
        <v>14</v>
      </c>
      <c r="D43" s="115">
        <f>D33</f>
        <v>253.63</v>
      </c>
      <c r="E43" s="115">
        <f t="shared" ref="E43:F43" si="6">E33</f>
        <v>253.62</v>
      </c>
      <c r="F43" s="115">
        <f t="shared" si="6"/>
        <v>253.63</v>
      </c>
    </row>
    <row r="44" spans="2:6" ht="15" x14ac:dyDescent="0.2">
      <c r="B44" s="27"/>
      <c r="C44" s="27" t="s">
        <v>15</v>
      </c>
      <c r="D44" s="115">
        <f>D41+D42-D43</f>
        <v>782.0100000000001</v>
      </c>
      <c r="E44" s="115">
        <f>E41+E42-E43</f>
        <v>528.3900000000001</v>
      </c>
      <c r="F44" s="115">
        <f>F41+F42-F43</f>
        <v>274.7600000000001</v>
      </c>
    </row>
    <row r="45" spans="2:6" ht="15" x14ac:dyDescent="0.2">
      <c r="B45" s="27"/>
      <c r="C45" s="27" t="s">
        <v>215</v>
      </c>
      <c r="D45" s="115">
        <f>AVERAGE(D41,D44)</f>
        <v>908.82500000000005</v>
      </c>
      <c r="E45" s="115">
        <f>AVERAGE(E41,E44)</f>
        <v>655.20000000000005</v>
      </c>
      <c r="F45" s="115">
        <f>AVERAGE(F41,F44)</f>
        <v>401.5750000000001</v>
      </c>
    </row>
    <row r="46" spans="2:6" ht="15" x14ac:dyDescent="0.2">
      <c r="B46" s="27"/>
      <c r="C46" s="27" t="s">
        <v>16</v>
      </c>
      <c r="D46" s="115">
        <v>10.27</v>
      </c>
      <c r="E46" s="115">
        <v>10.3</v>
      </c>
      <c r="F46" s="115">
        <v>10.3</v>
      </c>
    </row>
    <row r="47" spans="2:6" ht="15" x14ac:dyDescent="0.2">
      <c r="B47" s="27"/>
      <c r="C47" s="27" t="s">
        <v>276</v>
      </c>
      <c r="D47" s="115">
        <f>D37</f>
        <v>94.41</v>
      </c>
      <c r="E47" s="115">
        <f t="shared" ref="E47:F47" si="7">E37</f>
        <v>68.569999999999993</v>
      </c>
      <c r="F47" s="115">
        <f t="shared" si="7"/>
        <v>42.45</v>
      </c>
    </row>
    <row r="48" spans="2:6" ht="15" x14ac:dyDescent="0.2">
      <c r="B48" s="27"/>
      <c r="C48" s="27" t="s">
        <v>278</v>
      </c>
      <c r="D48" s="115">
        <f>D38</f>
        <v>0</v>
      </c>
      <c r="E48" s="115">
        <f t="shared" ref="E48:F48" si="8">E38</f>
        <v>0</v>
      </c>
      <c r="F48" s="115">
        <f t="shared" si="8"/>
        <v>0</v>
      </c>
    </row>
    <row r="49" spans="2:6" ht="15" x14ac:dyDescent="0.2">
      <c r="B49" s="27"/>
      <c r="C49" s="27" t="s">
        <v>279</v>
      </c>
      <c r="D49" s="115">
        <f>D47</f>
        <v>94.41</v>
      </c>
      <c r="E49" s="115">
        <f>E47+E48</f>
        <v>68.569999999999993</v>
      </c>
      <c r="F49" s="115">
        <f>F47+F48</f>
        <v>42.45</v>
      </c>
    </row>
  </sheetData>
  <mergeCells count="7">
    <mergeCell ref="B27:B29"/>
    <mergeCell ref="C27:C29"/>
    <mergeCell ref="I6:J6"/>
    <mergeCell ref="B6:B8"/>
    <mergeCell ref="C6:C8"/>
    <mergeCell ref="D6:F6"/>
    <mergeCell ref="G6:H6"/>
  </mergeCells>
  <pageMargins left="0.27559055118110237" right="0.23622047244094491" top="0.23622047244094491" bottom="0.23622047244094491" header="0.23622047244094491" footer="0.23622047244094491"/>
  <pageSetup paperSize="9" scale="93" fitToHeight="0" orientation="landscape" r:id="rId1"/>
  <headerFooter alignWithMargins="0"/>
  <rowBreaks count="1" manualBreakCount="1">
    <brk id="24"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2"/>
  <sheetViews>
    <sheetView showGridLines="0" zoomScale="92" zoomScaleNormal="92" zoomScaleSheetLayoutView="90" workbookViewId="0">
      <selection activeCell="L14" sqref="L14"/>
    </sheetView>
  </sheetViews>
  <sheetFormatPr defaultColWidth="9.28515625" defaultRowHeight="14.25" x14ac:dyDescent="0.2"/>
  <cols>
    <col min="1" max="1" width="4.28515625" style="5" customWidth="1"/>
    <col min="2" max="2" width="6.28515625" style="5" customWidth="1"/>
    <col min="3" max="3" width="35.5703125" style="5" customWidth="1"/>
    <col min="4" max="4" width="13.7109375" style="5" bestFit="1" customWidth="1"/>
    <col min="5" max="5" width="12.5703125" style="5" bestFit="1" customWidth="1"/>
    <col min="6" max="6" width="13.42578125" style="5" bestFit="1" customWidth="1"/>
    <col min="7" max="7" width="13.7109375" style="5" bestFit="1" customWidth="1"/>
    <col min="8" max="9" width="12.5703125" style="5" customWidth="1"/>
    <col min="10" max="10" width="14.42578125" style="5" bestFit="1" customWidth="1"/>
    <col min="11" max="13" width="11.7109375" style="5" bestFit="1" customWidth="1"/>
    <col min="14" max="16384" width="9.28515625" style="5"/>
  </cols>
  <sheetData>
    <row r="1" spans="2:12" ht="15" x14ac:dyDescent="0.2">
      <c r="B1" s="24"/>
    </row>
    <row r="2" spans="2:12" ht="15" x14ac:dyDescent="0.2">
      <c r="E2" s="32" t="s">
        <v>403</v>
      </c>
    </row>
    <row r="3" spans="2:12" ht="15" x14ac:dyDescent="0.2">
      <c r="E3" s="32" t="s">
        <v>467</v>
      </c>
    </row>
    <row r="4" spans="2:12" ht="15" x14ac:dyDescent="0.2">
      <c r="E4" s="35" t="s">
        <v>280</v>
      </c>
    </row>
    <row r="5" spans="2:12" ht="15" x14ac:dyDescent="0.2">
      <c r="J5" s="26" t="s">
        <v>4</v>
      </c>
    </row>
    <row r="6" spans="2:12" s="13" customFormat="1" ht="15" customHeight="1" x14ac:dyDescent="0.2">
      <c r="B6" s="279" t="s">
        <v>193</v>
      </c>
      <c r="C6" s="282" t="s">
        <v>18</v>
      </c>
      <c r="D6" s="286" t="s">
        <v>405</v>
      </c>
      <c r="E6" s="287"/>
      <c r="F6" s="288"/>
      <c r="G6" s="286" t="s">
        <v>406</v>
      </c>
      <c r="H6" s="288"/>
      <c r="I6" s="286" t="s">
        <v>466</v>
      </c>
      <c r="J6" s="288"/>
    </row>
    <row r="7" spans="2:12" s="13" customFormat="1" ht="45" x14ac:dyDescent="0.2">
      <c r="B7" s="280"/>
      <c r="C7" s="282"/>
      <c r="D7" s="15" t="s">
        <v>370</v>
      </c>
      <c r="E7" s="15" t="s">
        <v>240</v>
      </c>
      <c r="F7" s="15" t="s">
        <v>208</v>
      </c>
      <c r="G7" s="15" t="s">
        <v>370</v>
      </c>
      <c r="H7" s="15" t="s">
        <v>239</v>
      </c>
      <c r="I7" s="15" t="s">
        <v>370</v>
      </c>
      <c r="J7" s="15" t="s">
        <v>229</v>
      </c>
    </row>
    <row r="8" spans="2:12" s="13" customFormat="1" ht="30" x14ac:dyDescent="0.2">
      <c r="B8" s="281"/>
      <c r="C8" s="283"/>
      <c r="D8" s="15" t="s">
        <v>10</v>
      </c>
      <c r="E8" s="15" t="s">
        <v>12</v>
      </c>
      <c r="F8" s="15" t="s">
        <v>231</v>
      </c>
      <c r="G8" s="15" t="s">
        <v>10</v>
      </c>
      <c r="H8" s="15" t="s">
        <v>463</v>
      </c>
      <c r="I8" s="15" t="s">
        <v>10</v>
      </c>
      <c r="J8" s="15" t="s">
        <v>463</v>
      </c>
    </row>
    <row r="9" spans="2:12" x14ac:dyDescent="0.2">
      <c r="B9" s="61">
        <v>1</v>
      </c>
      <c r="C9" s="27" t="s">
        <v>281</v>
      </c>
      <c r="D9" s="2"/>
      <c r="E9" s="121">
        <f>600*24*20*85%*(1-0.0525)*'F12'!F17/10000</f>
        <v>86.602694959725241</v>
      </c>
      <c r="F9" s="126">
        <f>E9</f>
        <v>86.602694959725241</v>
      </c>
      <c r="G9" s="131"/>
      <c r="H9" s="131">
        <f>600*24*20*85%*(1-0.0525)*'F12'!I17/10000</f>
        <v>68.355075600000006</v>
      </c>
      <c r="I9" s="131"/>
      <c r="J9" s="131">
        <f>600*24*20*85%*(1-0.0525)*'F12'!K17/10000</f>
        <v>62.625960000000006</v>
      </c>
    </row>
    <row r="10" spans="2:12" x14ac:dyDescent="0.2">
      <c r="B10" s="20">
        <f>B9+1</f>
        <v>2</v>
      </c>
      <c r="C10" s="27" t="s">
        <v>282</v>
      </c>
      <c r="D10" s="2"/>
      <c r="E10" s="121">
        <f>600*24*30*85%*(1-0.0525)*'F12'!G17/10000</f>
        <v>129.90404243958787</v>
      </c>
      <c r="F10" s="126">
        <f>E10</f>
        <v>129.90404243958787</v>
      </c>
      <c r="G10" s="131"/>
      <c r="H10" s="131">
        <f>600*24*30*85%*(1-0.0525)*'F12'!I17/10000</f>
        <v>102.5326134</v>
      </c>
      <c r="I10" s="131"/>
      <c r="J10" s="131">
        <f>600*24*30*85%*(1-0.0525)*'F12'!K17/10000</f>
        <v>93.938940000000002</v>
      </c>
    </row>
    <row r="11" spans="2:12" x14ac:dyDescent="0.2">
      <c r="B11" s="20">
        <f t="shared" ref="B11:B19" si="0">B10+1</f>
        <v>3</v>
      </c>
      <c r="C11" s="29" t="s">
        <v>283</v>
      </c>
      <c r="D11" s="2"/>
      <c r="E11" s="121">
        <f>600*24*85%*(1-0.0525)*'F12'!G18*30/10000</f>
        <v>0.5768404306450301</v>
      </c>
      <c r="F11" s="126">
        <f>E11</f>
        <v>0.5768404306450301</v>
      </c>
      <c r="G11" s="131"/>
      <c r="H11" s="131">
        <f>600*24*85%*(1-0.0525)*'F12'!I18*30/10000</f>
        <v>1.2525191999999998</v>
      </c>
      <c r="I11" s="131"/>
      <c r="J11" s="131">
        <f>600*24*85%*(1-0.0525)*'F12'!K18*30/10000</f>
        <v>1.2873113999999999</v>
      </c>
    </row>
    <row r="12" spans="2:12" x14ac:dyDescent="0.2">
      <c r="B12" s="20">
        <f t="shared" si="0"/>
        <v>4</v>
      </c>
      <c r="C12" s="70" t="s">
        <v>284</v>
      </c>
      <c r="D12" s="120"/>
      <c r="E12" s="120">
        <f>'F2'!F14/12</f>
        <v>23.428333333333331</v>
      </c>
      <c r="F12" s="143">
        <f>'F2'!G14/12</f>
        <v>23.428333333333331</v>
      </c>
      <c r="G12" s="143"/>
      <c r="H12" s="143">
        <f>'F2'!I14/12</f>
        <v>24.666666666666668</v>
      </c>
      <c r="I12" s="143"/>
      <c r="J12" s="143">
        <f>'F2'!K14/12</f>
        <v>25.749166666666667</v>
      </c>
    </row>
    <row r="13" spans="2:12" s="32" customFormat="1" ht="15" x14ac:dyDescent="0.2">
      <c r="B13" s="20">
        <f t="shared" si="0"/>
        <v>5</v>
      </c>
      <c r="C13" s="37" t="s">
        <v>285</v>
      </c>
      <c r="D13" s="71"/>
      <c r="E13" s="126">
        <f>'F4'!F19*1%</f>
        <v>37.694600000000001</v>
      </c>
      <c r="F13" s="126">
        <f>E13</f>
        <v>37.694600000000001</v>
      </c>
      <c r="G13" s="126"/>
      <c r="H13" s="126">
        <f>'F4'!F33*1%</f>
        <v>37.730700000000006</v>
      </c>
      <c r="I13" s="126"/>
      <c r="J13" s="126">
        <f>'F4'!F47*1%</f>
        <v>37.782699999999998</v>
      </c>
    </row>
    <row r="14" spans="2:12" x14ac:dyDescent="0.2">
      <c r="B14" s="20">
        <f t="shared" si="0"/>
        <v>6</v>
      </c>
      <c r="C14" s="70" t="s">
        <v>397</v>
      </c>
      <c r="D14" s="120"/>
      <c r="E14" s="120">
        <f ca="1">(E10*45/30+E11*45/30+'F1'!G16*45/365)</f>
        <v>291.47146129165071</v>
      </c>
      <c r="F14" s="120">
        <f ca="1">E14</f>
        <v>291.47146129165071</v>
      </c>
      <c r="G14" s="143"/>
      <c r="H14" s="143">
        <f ca="1">(H10*45/30+H11*45/30+'F1'!J16*45/365)</f>
        <v>251.09249342054795</v>
      </c>
      <c r="I14" s="143"/>
      <c r="J14" s="143">
        <f ca="1">(J10*45/30+J11*45/30+'F1'!L16*45/365)</f>
        <v>239.27499353835617</v>
      </c>
      <c r="K14" s="171"/>
    </row>
    <row r="15" spans="2:12" x14ac:dyDescent="0.2">
      <c r="B15" s="20"/>
      <c r="C15" s="70" t="s">
        <v>286</v>
      </c>
      <c r="D15" s="71"/>
      <c r="E15" s="29"/>
      <c r="F15" s="3"/>
      <c r="G15" s="29"/>
      <c r="H15" s="29"/>
      <c r="I15" s="29"/>
      <c r="J15" s="29"/>
    </row>
    <row r="16" spans="2:12" x14ac:dyDescent="0.2">
      <c r="B16" s="20">
        <f>B14+1</f>
        <v>7</v>
      </c>
      <c r="C16" s="27" t="s">
        <v>398</v>
      </c>
      <c r="D16" s="120"/>
      <c r="E16" s="120">
        <f>E10+E11</f>
        <v>130.4808828702329</v>
      </c>
      <c r="F16" s="120">
        <f>E16</f>
        <v>130.4808828702329</v>
      </c>
      <c r="G16" s="120"/>
      <c r="H16" s="120">
        <f>H10+H11</f>
        <v>103.7851326</v>
      </c>
      <c r="I16" s="120"/>
      <c r="J16" s="120">
        <f>J10+J11</f>
        <v>95.226251399999995</v>
      </c>
      <c r="L16" s="171"/>
    </row>
    <row r="17" spans="2:10" ht="15" x14ac:dyDescent="0.2">
      <c r="B17" s="20">
        <f t="shared" si="0"/>
        <v>8</v>
      </c>
      <c r="C17" s="27" t="s">
        <v>55</v>
      </c>
      <c r="D17" s="117">
        <f>SUM(D9:D14)-D16</f>
        <v>0</v>
      </c>
      <c r="E17" s="117">
        <f t="shared" ref="E17:J17" ca="1" si="1">SUM(E9:E14)-E16</f>
        <v>439.19708958470926</v>
      </c>
      <c r="F17" s="117">
        <f t="shared" ca="1" si="1"/>
        <v>439.19708958470926</v>
      </c>
      <c r="G17" s="117">
        <f t="shared" si="1"/>
        <v>0</v>
      </c>
      <c r="H17" s="117">
        <f t="shared" ca="1" si="1"/>
        <v>381.84493568721462</v>
      </c>
      <c r="I17" s="117">
        <f t="shared" si="1"/>
        <v>0</v>
      </c>
      <c r="J17" s="117">
        <f t="shared" ca="1" si="1"/>
        <v>365.43282020502284</v>
      </c>
    </row>
    <row r="18" spans="2:10" x14ac:dyDescent="0.2">
      <c r="B18" s="20">
        <f t="shared" si="0"/>
        <v>9</v>
      </c>
      <c r="C18" s="27" t="s">
        <v>287</v>
      </c>
      <c r="D18" s="119"/>
      <c r="E18" s="119">
        <v>0.1041</v>
      </c>
      <c r="F18" s="119">
        <f>E18</f>
        <v>0.1041</v>
      </c>
      <c r="G18" s="119">
        <v>0.1008</v>
      </c>
      <c r="H18" s="119">
        <v>0.10249999999999999</v>
      </c>
      <c r="I18" s="119"/>
      <c r="J18" s="119">
        <v>0.10249999999999999</v>
      </c>
    </row>
    <row r="19" spans="2:10" ht="15" x14ac:dyDescent="0.2">
      <c r="B19" s="20">
        <f t="shared" si="0"/>
        <v>10</v>
      </c>
      <c r="C19" s="70" t="s">
        <v>288</v>
      </c>
      <c r="D19" s="117">
        <v>37.36</v>
      </c>
      <c r="E19" s="117">
        <f ca="1">ROUND(E17*E18,2)</f>
        <v>45.72</v>
      </c>
      <c r="F19" s="117">
        <f ca="1">ROUND(F17*F18,2)</f>
        <v>45.72</v>
      </c>
      <c r="G19" s="117">
        <v>38.19</v>
      </c>
      <c r="H19" s="117">
        <f ca="1">ROUND(H17*H18,2)</f>
        <v>39.14</v>
      </c>
      <c r="I19" s="117">
        <v>38.270000000000003</v>
      </c>
      <c r="J19" s="117">
        <f ca="1">ROUND(J17*J18,2)</f>
        <v>37.46</v>
      </c>
    </row>
    <row r="20" spans="2:10" x14ac:dyDescent="0.2">
      <c r="D20" s="155"/>
    </row>
    <row r="21" spans="2:10" x14ac:dyDescent="0.2">
      <c r="C21" s="5" t="s">
        <v>242</v>
      </c>
    </row>
    <row r="22" spans="2:10" x14ac:dyDescent="0.2">
      <c r="C22" s="5" t="s">
        <v>399</v>
      </c>
    </row>
  </sheetData>
  <mergeCells count="5">
    <mergeCell ref="G6:H6"/>
    <mergeCell ref="I6:J6"/>
    <mergeCell ref="B6:B8"/>
    <mergeCell ref="C6:C8"/>
    <mergeCell ref="D6:F6"/>
  </mergeCells>
  <pageMargins left="0.27" right="0.25" top="1" bottom="1" header="0.25" footer="0.25"/>
  <pageSetup paperSize="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23"/>
  <sheetViews>
    <sheetView showGridLines="0" zoomScale="96" zoomScaleNormal="96" zoomScaleSheetLayoutView="90" zoomScalePageLayoutView="84" workbookViewId="0">
      <selection activeCell="J21" sqref="J21"/>
    </sheetView>
  </sheetViews>
  <sheetFormatPr defaultColWidth="9.28515625" defaultRowHeight="14.25" x14ac:dyDescent="0.2"/>
  <cols>
    <col min="1" max="1" width="3.28515625" style="5" customWidth="1"/>
    <col min="2" max="2" width="6.28515625" style="5" customWidth="1"/>
    <col min="3" max="3" width="60.28515625" style="5" customWidth="1"/>
    <col min="4" max="4" width="12.42578125" style="5" customWidth="1"/>
    <col min="5" max="5" width="11" style="5" customWidth="1"/>
    <col min="6" max="6" width="13.42578125" style="5" bestFit="1" customWidth="1"/>
    <col min="7" max="9" width="12.140625" style="5" customWidth="1"/>
    <col min="10" max="10" width="11.28515625" style="5" customWidth="1"/>
    <col min="11" max="13" width="11.7109375" style="5" bestFit="1" customWidth="1"/>
    <col min="14" max="16384" width="9.28515625" style="5"/>
  </cols>
  <sheetData>
    <row r="1" spans="2:10" ht="15" x14ac:dyDescent="0.2">
      <c r="B1" s="24"/>
    </row>
    <row r="2" spans="2:10" ht="15" x14ac:dyDescent="0.2">
      <c r="D2" s="32" t="s">
        <v>403</v>
      </c>
    </row>
    <row r="3" spans="2:10" ht="15" x14ac:dyDescent="0.2">
      <c r="D3" s="32" t="s">
        <v>467</v>
      </c>
    </row>
    <row r="4" spans="2:10" ht="15" x14ac:dyDescent="0.2">
      <c r="D4" s="35" t="s">
        <v>289</v>
      </c>
    </row>
    <row r="5" spans="2:10" ht="15" x14ac:dyDescent="0.2">
      <c r="J5" s="26" t="s">
        <v>4</v>
      </c>
    </row>
    <row r="6" spans="2:10" s="13" customFormat="1" ht="15" customHeight="1" x14ac:dyDescent="0.2">
      <c r="B6" s="279" t="s">
        <v>193</v>
      </c>
      <c r="C6" s="282" t="s">
        <v>18</v>
      </c>
      <c r="D6" s="286" t="s">
        <v>405</v>
      </c>
      <c r="E6" s="287"/>
      <c r="F6" s="288"/>
      <c r="G6" s="286" t="s">
        <v>406</v>
      </c>
      <c r="H6" s="288"/>
      <c r="I6" s="286" t="s">
        <v>466</v>
      </c>
      <c r="J6" s="288"/>
    </row>
    <row r="7" spans="2:10" s="13" customFormat="1" ht="45" x14ac:dyDescent="0.2">
      <c r="B7" s="280"/>
      <c r="C7" s="282"/>
      <c r="D7" s="15" t="s">
        <v>370</v>
      </c>
      <c r="E7" s="15" t="s">
        <v>240</v>
      </c>
      <c r="F7" s="15" t="s">
        <v>208</v>
      </c>
      <c r="G7" s="15" t="s">
        <v>370</v>
      </c>
      <c r="H7" s="15" t="s">
        <v>239</v>
      </c>
      <c r="I7" s="15" t="s">
        <v>370</v>
      </c>
      <c r="J7" s="15" t="s">
        <v>239</v>
      </c>
    </row>
    <row r="8" spans="2:10" s="13" customFormat="1" ht="30" x14ac:dyDescent="0.2">
      <c r="B8" s="281"/>
      <c r="C8" s="283"/>
      <c r="D8" s="15" t="s">
        <v>10</v>
      </c>
      <c r="E8" s="15" t="s">
        <v>12</v>
      </c>
      <c r="F8" s="15" t="s">
        <v>231</v>
      </c>
      <c r="G8" s="15" t="s">
        <v>10</v>
      </c>
      <c r="H8" s="15" t="s">
        <v>463</v>
      </c>
      <c r="I8" s="15" t="s">
        <v>10</v>
      </c>
      <c r="J8" s="15" t="s">
        <v>463</v>
      </c>
    </row>
    <row r="9" spans="2:10" x14ac:dyDescent="0.2">
      <c r="B9" s="61">
        <v>1</v>
      </c>
      <c r="C9" s="27" t="s">
        <v>224</v>
      </c>
      <c r="D9" s="128"/>
      <c r="E9" s="126">
        <f>'F4'!F19*30%</f>
        <v>1130.838</v>
      </c>
      <c r="F9" s="126">
        <f>E9</f>
        <v>1130.838</v>
      </c>
      <c r="G9" s="130"/>
      <c r="H9" s="131">
        <f>E13</f>
        <v>1131.7404999999999</v>
      </c>
      <c r="I9" s="130"/>
      <c r="J9" s="131">
        <f>H13</f>
        <v>1133.0404999999998</v>
      </c>
    </row>
    <row r="10" spans="2:10" x14ac:dyDescent="0.2">
      <c r="B10" s="20">
        <f>B9+1</f>
        <v>2</v>
      </c>
      <c r="C10" s="27" t="s">
        <v>225</v>
      </c>
      <c r="D10" s="128"/>
      <c r="E10" s="126">
        <f>'F3'!E12</f>
        <v>3.61</v>
      </c>
      <c r="F10" s="126">
        <f>'F3'!F12</f>
        <v>3.61</v>
      </c>
      <c r="G10" s="126">
        <f>'F3'!G12</f>
        <v>0</v>
      </c>
      <c r="H10" s="126">
        <f>'F3'!H12</f>
        <v>5.2</v>
      </c>
      <c r="I10" s="126">
        <f>'F3'!I12</f>
        <v>0</v>
      </c>
      <c r="J10" s="126">
        <f>'F3'!J12</f>
        <v>93</v>
      </c>
    </row>
    <row r="11" spans="2:10" x14ac:dyDescent="0.2">
      <c r="B11" s="20">
        <f t="shared" ref="B11:B21" si="0">B10+1</f>
        <v>3</v>
      </c>
      <c r="C11" s="29" t="s">
        <v>19</v>
      </c>
      <c r="D11" s="129">
        <f>D10*25%</f>
        <v>0</v>
      </c>
      <c r="E11" s="129">
        <f>E10*25%</f>
        <v>0.90249999999999997</v>
      </c>
      <c r="F11" s="129">
        <f t="shared" ref="F11:J11" si="1">F10*25%</f>
        <v>0.90249999999999997</v>
      </c>
      <c r="G11" s="129">
        <f t="shared" si="1"/>
        <v>0</v>
      </c>
      <c r="H11" s="129">
        <f t="shared" si="1"/>
        <v>1.3</v>
      </c>
      <c r="I11" s="129">
        <f t="shared" si="1"/>
        <v>0</v>
      </c>
      <c r="J11" s="129">
        <f t="shared" si="1"/>
        <v>23.25</v>
      </c>
    </row>
    <row r="12" spans="2:10" ht="28.5" x14ac:dyDescent="0.2">
      <c r="B12" s="20">
        <f t="shared" si="0"/>
        <v>4</v>
      </c>
      <c r="C12" s="70" t="s">
        <v>20</v>
      </c>
      <c r="D12" s="132"/>
      <c r="E12" s="39"/>
      <c r="F12" s="128"/>
      <c r="G12" s="39"/>
      <c r="H12" s="39"/>
      <c r="I12" s="39"/>
      <c r="J12" s="39"/>
    </row>
    <row r="13" spans="2:10" s="32" customFormat="1" ht="15" x14ac:dyDescent="0.2">
      <c r="B13" s="20">
        <f t="shared" si="0"/>
        <v>5</v>
      </c>
      <c r="C13" s="37" t="s">
        <v>21</v>
      </c>
      <c r="D13" s="133">
        <f>D9+D11-D12</f>
        <v>0</v>
      </c>
      <c r="E13" s="133">
        <f t="shared" ref="E13:J13" si="2">E9+E11-E12</f>
        <v>1131.7404999999999</v>
      </c>
      <c r="F13" s="133">
        <f>F9+F11-F12</f>
        <v>1131.7404999999999</v>
      </c>
      <c r="G13" s="133">
        <f t="shared" si="2"/>
        <v>0</v>
      </c>
      <c r="H13" s="133">
        <f t="shared" si="2"/>
        <v>1133.0404999999998</v>
      </c>
      <c r="I13" s="133"/>
      <c r="J13" s="133">
        <f t="shared" si="2"/>
        <v>1156.2904999999998</v>
      </c>
    </row>
    <row r="14" spans="2:10" s="32" customFormat="1" ht="15" x14ac:dyDescent="0.2">
      <c r="B14" s="20"/>
      <c r="C14" s="72" t="s">
        <v>290</v>
      </c>
      <c r="D14" s="71"/>
      <c r="E14" s="29"/>
      <c r="F14" s="3"/>
      <c r="G14" s="29"/>
      <c r="H14" s="29"/>
      <c r="I14" s="29"/>
      <c r="J14" s="29"/>
    </row>
    <row r="15" spans="2:10" s="32" customFormat="1" ht="15" x14ac:dyDescent="0.2">
      <c r="B15" s="20">
        <f>B13+1</f>
        <v>6</v>
      </c>
      <c r="C15" s="37" t="s">
        <v>291</v>
      </c>
      <c r="D15" s="177">
        <v>0.115</v>
      </c>
      <c r="E15" s="177">
        <v>0.155</v>
      </c>
      <c r="F15" s="177">
        <v>0.155</v>
      </c>
      <c r="G15" s="177">
        <v>0.115</v>
      </c>
      <c r="H15" s="177">
        <v>0.155</v>
      </c>
      <c r="I15" s="177">
        <v>0.155</v>
      </c>
      <c r="J15" s="177">
        <v>0.155</v>
      </c>
    </row>
    <row r="16" spans="2:10" s="32" customFormat="1" ht="15" x14ac:dyDescent="0.2">
      <c r="B16" s="20">
        <f>B15+1</f>
        <v>7</v>
      </c>
      <c r="C16" s="37" t="s">
        <v>292</v>
      </c>
      <c r="D16" s="178">
        <v>0.25168000000000001</v>
      </c>
      <c r="E16" s="178">
        <v>0.25168000000000001</v>
      </c>
      <c r="F16" s="178">
        <v>0.25168000000000001</v>
      </c>
      <c r="G16" s="178">
        <v>0.25168000000000001</v>
      </c>
      <c r="H16" s="178">
        <v>0.25168000000000001</v>
      </c>
      <c r="I16" s="178">
        <v>0.25168000000000001</v>
      </c>
      <c r="J16" s="178">
        <v>0.25168000000000001</v>
      </c>
    </row>
    <row r="17" spans="2:10" s="32" customFormat="1" ht="15" x14ac:dyDescent="0.2">
      <c r="B17" s="20">
        <f>B16+1</f>
        <v>8</v>
      </c>
      <c r="C17" s="30" t="s">
        <v>290</v>
      </c>
      <c r="D17" s="179">
        <f>D15/(1-D16)</f>
        <v>0.15367757109258073</v>
      </c>
      <c r="E17" s="179">
        <f t="shared" ref="E17:J17" si="3">E15/(1-E16)</f>
        <v>0.20713063929869574</v>
      </c>
      <c r="F17" s="179">
        <f t="shared" si="3"/>
        <v>0.20713063929869574</v>
      </c>
      <c r="G17" s="179">
        <f t="shared" si="3"/>
        <v>0.15367757109258073</v>
      </c>
      <c r="H17" s="179">
        <f t="shared" si="3"/>
        <v>0.20713063929869574</v>
      </c>
      <c r="I17" s="179">
        <f t="shared" si="3"/>
        <v>0.20713063929869574</v>
      </c>
      <c r="J17" s="179">
        <f t="shared" si="3"/>
        <v>0.20713063929869574</v>
      </c>
    </row>
    <row r="18" spans="2:10" ht="15" x14ac:dyDescent="0.2">
      <c r="B18" s="20"/>
      <c r="C18" s="72" t="s">
        <v>182</v>
      </c>
      <c r="D18" s="116"/>
      <c r="E18" s="29"/>
      <c r="F18" s="3"/>
      <c r="G18" s="29"/>
      <c r="H18" s="29"/>
      <c r="I18" s="29"/>
      <c r="J18" s="29"/>
    </row>
    <row r="19" spans="2:10" ht="17.25" customHeight="1" x14ac:dyDescent="0.2">
      <c r="B19" s="20">
        <f>B17+1</f>
        <v>9</v>
      </c>
      <c r="C19" s="70" t="s">
        <v>226</v>
      </c>
      <c r="D19" s="117">
        <f>D9*D17</f>
        <v>0</v>
      </c>
      <c r="E19" s="117">
        <f t="shared" ref="E19:J19" si="4">E9*E17</f>
        <v>234.23119788325849</v>
      </c>
      <c r="F19" s="117">
        <f t="shared" si="4"/>
        <v>234.23119788325849</v>
      </c>
      <c r="G19" s="117">
        <f t="shared" si="4"/>
        <v>0</v>
      </c>
      <c r="H19" s="117">
        <f t="shared" si="4"/>
        <v>234.41813328522554</v>
      </c>
      <c r="I19" s="117"/>
      <c r="J19" s="117">
        <f t="shared" si="4"/>
        <v>234.68740311631385</v>
      </c>
    </row>
    <row r="20" spans="2:10" ht="18.75" customHeight="1" x14ac:dyDescent="0.2">
      <c r="B20" s="20">
        <f t="shared" si="0"/>
        <v>10</v>
      </c>
      <c r="C20" s="70" t="s">
        <v>227</v>
      </c>
      <c r="D20" s="117">
        <f>AVERAGE(D9,D13)*D17-D19</f>
        <v>0</v>
      </c>
      <c r="E20" s="117">
        <f t="shared" ref="E20:J20" si="5">AVERAGE(E9,E13)*E17-E19</f>
        <v>9.3467700983495661E-2</v>
      </c>
      <c r="F20" s="117">
        <f t="shared" si="5"/>
        <v>9.3467700983495661E-2</v>
      </c>
      <c r="G20" s="117">
        <f t="shared" si="5"/>
        <v>0</v>
      </c>
      <c r="H20" s="117">
        <f t="shared" si="5"/>
        <v>0.13463491554418283</v>
      </c>
      <c r="I20" s="117"/>
      <c r="J20" s="117">
        <f t="shared" si="5"/>
        <v>2.4078936818473267</v>
      </c>
    </row>
    <row r="21" spans="2:10" ht="15" x14ac:dyDescent="0.2">
      <c r="B21" s="20">
        <f t="shared" si="0"/>
        <v>11</v>
      </c>
      <c r="C21" s="38" t="s">
        <v>183</v>
      </c>
      <c r="D21" s="117">
        <v>174.77</v>
      </c>
      <c r="E21" s="117">
        <f>ROUND((E19+E20),2)</f>
        <v>234.32</v>
      </c>
      <c r="F21" s="117">
        <f>ROUND((F19+F20),2)</f>
        <v>234.32</v>
      </c>
      <c r="G21" s="117">
        <v>235.56</v>
      </c>
      <c r="H21" s="117">
        <f>ROUND((H19+H20),2)</f>
        <v>234.55</v>
      </c>
      <c r="I21" s="117">
        <v>235.56</v>
      </c>
      <c r="J21" s="117">
        <f>ROUND((J19+J20),2)</f>
        <v>237.1</v>
      </c>
    </row>
    <row r="22" spans="2:10" x14ac:dyDescent="0.2">
      <c r="C22" s="5" t="s">
        <v>242</v>
      </c>
    </row>
    <row r="23" spans="2:10" x14ac:dyDescent="0.2">
      <c r="C23" s="5" t="s">
        <v>401</v>
      </c>
    </row>
  </sheetData>
  <mergeCells count="5">
    <mergeCell ref="I6:J6"/>
    <mergeCell ref="B6:B8"/>
    <mergeCell ref="C6:C8"/>
    <mergeCell ref="D6:F6"/>
    <mergeCell ref="G6:H6"/>
  </mergeCells>
  <pageMargins left="1.02" right="0.25" top="1" bottom="1" header="0.25" footer="0.25"/>
  <pageSetup paperSize="9" scale="89"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J29"/>
  <sheetViews>
    <sheetView showGridLines="0" view="pageBreakPreview" zoomScale="90" zoomScaleNormal="112" zoomScaleSheetLayoutView="90" workbookViewId="0">
      <selection activeCell="M32" sqref="M32"/>
    </sheetView>
  </sheetViews>
  <sheetFormatPr defaultColWidth="9.28515625" defaultRowHeight="14.25" x14ac:dyDescent="0.2"/>
  <cols>
    <col min="1" max="1" width="2.7109375" style="5" customWidth="1"/>
    <col min="2" max="2" width="6.28515625" style="5" customWidth="1"/>
    <col min="3" max="3" width="50.42578125" style="5" customWidth="1"/>
    <col min="4" max="5" width="11.28515625" style="5" customWidth="1"/>
    <col min="6" max="6" width="13.7109375" style="5" customWidth="1"/>
    <col min="7" max="10" width="11.28515625" style="5" customWidth="1"/>
    <col min="11" max="13" width="11.7109375" style="5" bestFit="1" customWidth="1"/>
    <col min="14" max="16384" width="9.28515625" style="5"/>
  </cols>
  <sheetData>
    <row r="2" spans="2:10" ht="15" x14ac:dyDescent="0.2">
      <c r="E2" s="32" t="s">
        <v>403</v>
      </c>
    </row>
    <row r="3" spans="2:10" ht="15" x14ac:dyDescent="0.2">
      <c r="E3" s="32" t="s">
        <v>467</v>
      </c>
    </row>
    <row r="4" spans="2:10" ht="15" x14ac:dyDescent="0.2">
      <c r="B4" s="33"/>
      <c r="C4" s="24"/>
      <c r="D4" s="25"/>
      <c r="E4" s="35" t="s">
        <v>293</v>
      </c>
      <c r="F4" s="25"/>
      <c r="G4" s="25"/>
      <c r="H4" s="25"/>
      <c r="I4" s="25"/>
      <c r="J4" s="25"/>
    </row>
    <row r="5" spans="2:10" ht="15" x14ac:dyDescent="0.2">
      <c r="J5" s="26" t="s">
        <v>4</v>
      </c>
    </row>
    <row r="6" spans="2:10" s="13" customFormat="1" ht="15" customHeight="1" x14ac:dyDescent="0.2">
      <c r="B6" s="279" t="s">
        <v>193</v>
      </c>
      <c r="C6" s="282" t="s">
        <v>18</v>
      </c>
      <c r="D6" s="286" t="s">
        <v>405</v>
      </c>
      <c r="E6" s="287"/>
      <c r="F6" s="288"/>
      <c r="G6" s="286" t="s">
        <v>406</v>
      </c>
      <c r="H6" s="288"/>
      <c r="I6" s="286" t="s">
        <v>466</v>
      </c>
      <c r="J6" s="288"/>
    </row>
    <row r="7" spans="2:10" s="13" customFormat="1" ht="30" x14ac:dyDescent="0.2">
      <c r="B7" s="280"/>
      <c r="C7" s="282"/>
      <c r="D7" s="15" t="s">
        <v>370</v>
      </c>
      <c r="E7" s="15" t="s">
        <v>240</v>
      </c>
      <c r="F7" s="15" t="s">
        <v>208</v>
      </c>
      <c r="G7" s="15" t="s">
        <v>370</v>
      </c>
      <c r="H7" s="15" t="s">
        <v>239</v>
      </c>
      <c r="I7" s="15" t="s">
        <v>370</v>
      </c>
      <c r="J7" s="15" t="s">
        <v>229</v>
      </c>
    </row>
    <row r="8" spans="2:10" s="13" customFormat="1" ht="15" x14ac:dyDescent="0.2">
      <c r="B8" s="281"/>
      <c r="C8" s="283"/>
      <c r="D8" s="15" t="s">
        <v>10</v>
      </c>
      <c r="E8" s="15" t="s">
        <v>12</v>
      </c>
      <c r="F8" s="15" t="s">
        <v>231</v>
      </c>
      <c r="G8" s="15" t="s">
        <v>10</v>
      </c>
      <c r="H8" s="15" t="s">
        <v>5</v>
      </c>
      <c r="I8" s="15" t="s">
        <v>10</v>
      </c>
      <c r="J8" s="15" t="s">
        <v>8</v>
      </c>
    </row>
    <row r="9" spans="2:10" s="13" customFormat="1" ht="15" x14ac:dyDescent="0.2">
      <c r="B9" s="61">
        <v>1</v>
      </c>
      <c r="C9" s="184" t="s">
        <v>418</v>
      </c>
      <c r="D9" s="156"/>
      <c r="E9" s="157">
        <v>0.12359246256523702</v>
      </c>
      <c r="F9" s="157">
        <v>0.12359246256523702</v>
      </c>
      <c r="G9" s="15"/>
      <c r="H9" s="186">
        <v>0.12853616106784652</v>
      </c>
      <c r="I9" s="15"/>
      <c r="J9" s="186">
        <v>0.13367760751056038</v>
      </c>
    </row>
    <row r="10" spans="2:10" s="13" customFormat="1" ht="15" x14ac:dyDescent="0.2">
      <c r="B10" s="61">
        <f>B9+1</f>
        <v>2</v>
      </c>
      <c r="C10" s="184" t="s">
        <v>417</v>
      </c>
      <c r="D10" s="156"/>
      <c r="E10" s="157">
        <v>2.1990464530334943E-4</v>
      </c>
      <c r="F10" s="157">
        <v>2.1990464530334943E-4</v>
      </c>
      <c r="G10" s="15"/>
      <c r="H10" s="186">
        <v>3.0334984935068138E-4</v>
      </c>
      <c r="I10" s="15"/>
      <c r="J10" s="186">
        <v>3.1548384332470865E-4</v>
      </c>
    </row>
    <row r="11" spans="2:10" s="13" customFormat="1" ht="15" x14ac:dyDescent="0.2">
      <c r="B11" s="61">
        <f>B10+1</f>
        <v>3</v>
      </c>
      <c r="C11" s="184" t="s">
        <v>416</v>
      </c>
      <c r="D11" s="156"/>
      <c r="E11" s="157">
        <v>5.6928415585369672E-2</v>
      </c>
      <c r="F11" s="157">
        <v>5.6928415585369672E-2</v>
      </c>
      <c r="G11" s="15"/>
      <c r="H11" s="186">
        <v>5.920555220878447E-2</v>
      </c>
      <c r="I11" s="15"/>
      <c r="J11" s="186">
        <v>6.1573774297135848E-2</v>
      </c>
    </row>
    <row r="12" spans="2:10" s="13" customFormat="1" ht="15" x14ac:dyDescent="0.2">
      <c r="B12" s="185">
        <f t="shared" ref="B12:B27" si="0">B11+1</f>
        <v>4</v>
      </c>
      <c r="C12" s="184" t="s">
        <v>429</v>
      </c>
      <c r="D12" s="156"/>
      <c r="E12" s="157">
        <v>2.725220841818182</v>
      </c>
      <c r="F12" s="157">
        <v>2.725220841818182</v>
      </c>
      <c r="G12" s="15"/>
      <c r="H12" s="186">
        <v>2.8342296754909095</v>
      </c>
      <c r="I12" s="15"/>
      <c r="J12" s="186">
        <v>2.9475988625105458</v>
      </c>
    </row>
    <row r="13" spans="2:10" s="13" customFormat="1" ht="15" x14ac:dyDescent="0.2">
      <c r="B13" s="185">
        <f t="shared" si="0"/>
        <v>5</v>
      </c>
      <c r="C13" s="184" t="s">
        <v>426</v>
      </c>
      <c r="D13" s="157"/>
      <c r="E13" s="157">
        <v>2.3238805435935421E-2</v>
      </c>
      <c r="F13" s="157">
        <v>2.3238805435935421E-2</v>
      </c>
      <c r="G13" s="15"/>
      <c r="H13" s="186">
        <v>2.4168357653372836E-2</v>
      </c>
      <c r="I13" s="15"/>
      <c r="J13" s="186">
        <v>2.5135091959507749E-2</v>
      </c>
    </row>
    <row r="14" spans="2:10" s="13" customFormat="1" ht="15" x14ac:dyDescent="0.2">
      <c r="B14" s="185">
        <f t="shared" si="0"/>
        <v>6</v>
      </c>
      <c r="C14" s="184" t="s">
        <v>412</v>
      </c>
      <c r="D14" s="157"/>
      <c r="E14" s="157">
        <v>0.18206579432010883</v>
      </c>
      <c r="F14" s="157">
        <v>0.18206579432010883</v>
      </c>
      <c r="G14" s="15"/>
      <c r="H14" s="186">
        <v>0.18934842609291319</v>
      </c>
      <c r="I14" s="15"/>
      <c r="J14" s="186">
        <v>0.19692236313662972</v>
      </c>
    </row>
    <row r="15" spans="2:10" s="13" customFormat="1" ht="15" x14ac:dyDescent="0.2">
      <c r="B15" s="185">
        <f t="shared" si="0"/>
        <v>7</v>
      </c>
      <c r="C15" s="184" t="s">
        <v>425</v>
      </c>
      <c r="D15" s="157"/>
      <c r="E15" s="157">
        <v>5.6621999999999999E-2</v>
      </c>
      <c r="F15" s="157">
        <v>5.6621999999999999E-2</v>
      </c>
      <c r="G15" s="15"/>
      <c r="H15" s="186">
        <v>5.8886880000000003E-2</v>
      </c>
      <c r="I15" s="15"/>
      <c r="J15" s="186">
        <v>6.1242355200000008E-2</v>
      </c>
    </row>
    <row r="16" spans="2:10" s="13" customFormat="1" ht="15" x14ac:dyDescent="0.2">
      <c r="B16" s="185">
        <f t="shared" si="0"/>
        <v>8</v>
      </c>
      <c r="C16" s="184" t="s">
        <v>420</v>
      </c>
      <c r="D16" s="157"/>
      <c r="E16" s="157">
        <v>0.1833169556810367</v>
      </c>
      <c r="F16" s="157">
        <v>0.1833169556810367</v>
      </c>
      <c r="G16" s="15"/>
      <c r="H16" s="186">
        <v>0.19064963390827819</v>
      </c>
      <c r="I16" s="15"/>
      <c r="J16" s="186">
        <v>0.19827561926460932</v>
      </c>
    </row>
    <row r="17" spans="2:10" s="13" customFormat="1" ht="15" x14ac:dyDescent="0.2">
      <c r="B17" s="185">
        <f t="shared" si="0"/>
        <v>9</v>
      </c>
      <c r="C17" s="184" t="s">
        <v>413</v>
      </c>
      <c r="D17" s="157"/>
      <c r="E17" s="157">
        <v>7.5811422630055647</v>
      </c>
      <c r="F17" s="157">
        <v>7.5811422630055647</v>
      </c>
      <c r="G17" s="15"/>
      <c r="H17" s="186">
        <v>7.8843879535257875</v>
      </c>
      <c r="I17" s="15"/>
      <c r="J17" s="186">
        <v>8.1997634716668184</v>
      </c>
    </row>
    <row r="18" spans="2:10" s="13" customFormat="1" ht="15" x14ac:dyDescent="0.2">
      <c r="B18" s="185">
        <f t="shared" si="0"/>
        <v>10</v>
      </c>
      <c r="C18" s="184" t="s">
        <v>477</v>
      </c>
      <c r="D18" s="157"/>
      <c r="E18" s="157">
        <v>0</v>
      </c>
      <c r="F18" s="157">
        <v>0</v>
      </c>
      <c r="G18" s="15"/>
      <c r="H18" s="186">
        <v>0</v>
      </c>
      <c r="I18" s="15"/>
      <c r="J18" s="186">
        <v>0</v>
      </c>
    </row>
    <row r="19" spans="2:10" s="13" customFormat="1" ht="15" x14ac:dyDescent="0.2">
      <c r="B19" s="185">
        <f t="shared" si="0"/>
        <v>11</v>
      </c>
      <c r="C19" s="184" t="s">
        <v>415</v>
      </c>
      <c r="D19" s="157"/>
      <c r="E19" s="157">
        <v>0.27271187618181819</v>
      </c>
      <c r="F19" s="157">
        <v>0.27271187618181819</v>
      </c>
      <c r="G19" s="15"/>
      <c r="H19" s="186">
        <v>0.28362035122909096</v>
      </c>
      <c r="I19" s="15"/>
      <c r="J19" s="186">
        <v>0.29496516527825462</v>
      </c>
    </row>
    <row r="20" spans="2:10" s="13" customFormat="1" ht="15" x14ac:dyDescent="0.2">
      <c r="B20" s="185">
        <f t="shared" si="0"/>
        <v>12</v>
      </c>
      <c r="C20" s="184" t="s">
        <v>414</v>
      </c>
      <c r="D20" s="157"/>
      <c r="E20" s="157">
        <v>0.4813511258181819</v>
      </c>
      <c r="F20" s="157">
        <v>0.4813511258181819</v>
      </c>
      <c r="G20" s="15"/>
      <c r="H20" s="186">
        <v>0.50060517085090916</v>
      </c>
      <c r="I20" s="15"/>
      <c r="J20" s="186">
        <v>0.52062937768494555</v>
      </c>
    </row>
    <row r="21" spans="2:10" x14ac:dyDescent="0.2">
      <c r="B21" s="185">
        <f t="shared" si="0"/>
        <v>13</v>
      </c>
      <c r="C21" s="184" t="s">
        <v>419</v>
      </c>
      <c r="D21" s="157"/>
      <c r="E21" s="157">
        <v>1.9521163376641799E-3</v>
      </c>
      <c r="F21" s="157">
        <v>1.9521163376641799E-3</v>
      </c>
      <c r="G21" s="21"/>
      <c r="H21" s="131">
        <v>2.0302009911707473E-3</v>
      </c>
      <c r="I21" s="21"/>
      <c r="J21" s="131">
        <v>2.1114090308175771E-3</v>
      </c>
    </row>
    <row r="22" spans="2:10" x14ac:dyDescent="0.2">
      <c r="B22" s="185">
        <f t="shared" si="0"/>
        <v>14</v>
      </c>
      <c r="C22" s="184" t="s">
        <v>423</v>
      </c>
      <c r="D22" s="157"/>
      <c r="E22" s="157">
        <v>3.7107741555465784E-2</v>
      </c>
      <c r="F22" s="157">
        <v>3.7107741555465784E-2</v>
      </c>
      <c r="G22" s="21"/>
      <c r="H22" s="131">
        <v>3.8592051217684414E-2</v>
      </c>
      <c r="I22" s="21"/>
      <c r="J22" s="131">
        <v>4.013573326639179E-2</v>
      </c>
    </row>
    <row r="23" spans="2:10" x14ac:dyDescent="0.2">
      <c r="B23" s="185">
        <f t="shared" si="0"/>
        <v>15</v>
      </c>
      <c r="C23" s="184" t="s">
        <v>427</v>
      </c>
      <c r="D23" s="157"/>
      <c r="E23" s="157">
        <v>9.4942827011420844E-2</v>
      </c>
      <c r="F23" s="157">
        <v>9.4942827011420844E-2</v>
      </c>
      <c r="G23" s="21"/>
      <c r="H23" s="131">
        <v>9.8740540091877688E-2</v>
      </c>
      <c r="I23" s="21"/>
      <c r="J23" s="131">
        <v>0.1026901616955528</v>
      </c>
    </row>
    <row r="24" spans="2:10" x14ac:dyDescent="0.2">
      <c r="B24" s="185">
        <f t="shared" si="0"/>
        <v>16</v>
      </c>
      <c r="C24" s="184" t="s">
        <v>428</v>
      </c>
      <c r="D24" s="157"/>
      <c r="E24" s="157">
        <v>4.9276453381696611E-3</v>
      </c>
      <c r="F24" s="157">
        <v>4.9276453381696611E-3</v>
      </c>
      <c r="G24" s="21"/>
      <c r="H24" s="131">
        <v>5.1247511516964474E-3</v>
      </c>
      <c r="I24" s="21"/>
      <c r="J24" s="131">
        <v>5.3297411977643056E-3</v>
      </c>
    </row>
    <row r="25" spans="2:10" ht="15.75" customHeight="1" x14ac:dyDescent="0.2">
      <c r="B25" s="185">
        <f t="shared" si="0"/>
        <v>17</v>
      </c>
      <c r="C25" s="184" t="s">
        <v>424</v>
      </c>
      <c r="D25" s="158">
        <f>SUM(D9:D20)</f>
        <v>0</v>
      </c>
      <c r="E25" s="157">
        <v>5.5142911360930649E-2</v>
      </c>
      <c r="F25" s="157">
        <v>5.5142911360930649E-2</v>
      </c>
      <c r="G25" s="29"/>
      <c r="H25" s="126">
        <v>5.7348627815367877E-2</v>
      </c>
      <c r="I25" s="29"/>
      <c r="J25" s="126">
        <v>5.9642572927982591E-2</v>
      </c>
    </row>
    <row r="26" spans="2:10" s="32" customFormat="1" ht="15" x14ac:dyDescent="0.2">
      <c r="B26" s="185">
        <f t="shared" si="0"/>
        <v>18</v>
      </c>
      <c r="C26" s="184" t="s">
        <v>422</v>
      </c>
      <c r="D26" s="158"/>
      <c r="E26" s="157">
        <v>2.2148446056553979E-4</v>
      </c>
      <c r="F26" s="157">
        <v>2.2148446056553979E-4</v>
      </c>
      <c r="G26" s="29"/>
      <c r="H26" s="126">
        <v>1.5086099064681785E-2</v>
      </c>
      <c r="I26" s="29"/>
      <c r="J26" s="126">
        <v>1.5689543027269055E-2</v>
      </c>
    </row>
    <row r="27" spans="2:10" s="32" customFormat="1" ht="15" x14ac:dyDescent="0.2">
      <c r="B27" s="185">
        <f t="shared" si="0"/>
        <v>19</v>
      </c>
      <c r="C27" s="184" t="s">
        <v>421</v>
      </c>
      <c r="D27" s="158"/>
      <c r="E27" s="157">
        <v>4.9363636363636363E-3</v>
      </c>
      <c r="F27" s="157">
        <v>4.9363636363636363E-3</v>
      </c>
      <c r="G27" s="29"/>
      <c r="H27" s="126">
        <v>6.8011924364706202E-3</v>
      </c>
      <c r="I27" s="29"/>
      <c r="J27" s="126">
        <v>7.0732401339294454E-3</v>
      </c>
    </row>
    <row r="28" spans="2:10" x14ac:dyDescent="0.2">
      <c r="B28" s="20"/>
      <c r="C28" s="70"/>
      <c r="D28" s="71"/>
      <c r="E28" s="29"/>
      <c r="F28" s="29"/>
      <c r="G28" s="39"/>
      <c r="H28" s="39"/>
      <c r="I28" s="39"/>
      <c r="J28" s="39"/>
    </row>
    <row r="29" spans="2:10" ht="15" x14ac:dyDescent="0.2">
      <c r="B29" s="20"/>
      <c r="C29" s="31" t="s">
        <v>139</v>
      </c>
      <c r="D29" s="117">
        <v>29.9</v>
      </c>
      <c r="E29" s="117">
        <f>ROUND(SUM(E9:E27),2)</f>
        <v>11.89</v>
      </c>
      <c r="F29" s="117">
        <f>ROUND(SUM(F9:F27),2)</f>
        <v>11.89</v>
      </c>
      <c r="G29" s="117">
        <v>31.09</v>
      </c>
      <c r="H29" s="117">
        <f>ROUND(SUM(H9:H27),2)</f>
        <v>12.38</v>
      </c>
      <c r="I29" s="117">
        <v>32.33</v>
      </c>
      <c r="J29" s="117">
        <f>ROUND(SUM(J9:J27),2)</f>
        <v>12.87</v>
      </c>
    </row>
  </sheetData>
  <mergeCells count="5">
    <mergeCell ref="I6:J6"/>
    <mergeCell ref="B6:B8"/>
    <mergeCell ref="C6:C8"/>
    <mergeCell ref="D6:F6"/>
    <mergeCell ref="G6:H6"/>
  </mergeCells>
  <pageMargins left="0.27" right="0.25" top="0.25" bottom="1" header="0.25" footer="0.25"/>
  <pageSetup paperSize="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F31"/>
  <sheetViews>
    <sheetView showGridLines="0" view="pageBreakPreview" zoomScaleNormal="93" zoomScaleSheetLayoutView="100" workbookViewId="0">
      <selection activeCell="K19" sqref="K19"/>
    </sheetView>
  </sheetViews>
  <sheetFormatPr defaultColWidth="9.28515625" defaultRowHeight="14.25" x14ac:dyDescent="0.2"/>
  <cols>
    <col min="1" max="1" width="3.28515625" style="5" customWidth="1"/>
    <col min="2" max="2" width="8.28515625" style="5" customWidth="1"/>
    <col min="3" max="3" width="26.7109375" style="5" customWidth="1"/>
    <col min="4" max="4" width="15.7109375" style="5" customWidth="1"/>
    <col min="5" max="5" width="18" style="5" bestFit="1" customWidth="1"/>
    <col min="6" max="6" width="15.7109375" style="5" customWidth="1"/>
    <col min="7" max="16384" width="9.28515625" style="5"/>
  </cols>
  <sheetData>
    <row r="2" spans="2:6" ht="15" x14ac:dyDescent="0.2">
      <c r="B2" s="289" t="s">
        <v>403</v>
      </c>
      <c r="C2" s="289"/>
      <c r="D2" s="289"/>
      <c r="E2" s="289"/>
      <c r="F2" s="289"/>
    </row>
    <row r="3" spans="2:6" ht="15" x14ac:dyDescent="0.2">
      <c r="B3" s="289" t="s">
        <v>467</v>
      </c>
      <c r="C3" s="289"/>
      <c r="D3" s="289"/>
      <c r="E3" s="289"/>
      <c r="F3" s="289"/>
    </row>
    <row r="4" spans="2:6" ht="14.25" customHeight="1" x14ac:dyDescent="0.2">
      <c r="B4" s="289" t="s">
        <v>295</v>
      </c>
      <c r="C4" s="289"/>
      <c r="D4" s="289"/>
      <c r="E4" s="289"/>
      <c r="F4" s="289"/>
    </row>
    <row r="5" spans="2:6" ht="15" x14ac:dyDescent="0.2">
      <c r="B5" s="24"/>
      <c r="C5" s="74"/>
      <c r="D5" s="75"/>
    </row>
    <row r="6" spans="2:6" ht="15" customHeight="1" x14ac:dyDescent="0.2">
      <c r="B6" s="291" t="s">
        <v>2</v>
      </c>
      <c r="C6" s="296" t="s">
        <v>18</v>
      </c>
      <c r="D6" s="135" t="s">
        <v>405</v>
      </c>
      <c r="E6" s="23" t="s">
        <v>406</v>
      </c>
      <c r="F6" s="23" t="s">
        <v>466</v>
      </c>
    </row>
    <row r="7" spans="2:6" ht="15" x14ac:dyDescent="0.2">
      <c r="B7" s="291"/>
      <c r="C7" s="296"/>
      <c r="D7" s="15" t="s">
        <v>294</v>
      </c>
      <c r="E7" s="15" t="s">
        <v>239</v>
      </c>
      <c r="F7" s="15" t="s">
        <v>239</v>
      </c>
    </row>
    <row r="8" spans="2:6" ht="24.75" customHeight="1" x14ac:dyDescent="0.2">
      <c r="B8" s="313"/>
      <c r="C8" s="314"/>
      <c r="D8" s="15" t="s">
        <v>3</v>
      </c>
      <c r="E8" s="15" t="s">
        <v>5</v>
      </c>
      <c r="F8" s="15" t="s">
        <v>8</v>
      </c>
    </row>
    <row r="9" spans="2:6" ht="15" x14ac:dyDescent="0.2">
      <c r="B9" s="76">
        <v>1</v>
      </c>
      <c r="C9" s="77" t="s">
        <v>165</v>
      </c>
      <c r="D9" s="73"/>
      <c r="E9" s="73"/>
      <c r="F9" s="27"/>
    </row>
    <row r="10" spans="2:6" s="32" customFormat="1" ht="15" x14ac:dyDescent="0.2">
      <c r="B10" s="78" t="s">
        <v>57</v>
      </c>
      <c r="C10" s="38" t="s">
        <v>58</v>
      </c>
      <c r="D10" s="79"/>
      <c r="E10" s="38"/>
      <c r="F10" s="38"/>
    </row>
    <row r="11" spans="2:6" s="32" customFormat="1" ht="15" x14ac:dyDescent="0.2">
      <c r="B11" s="80"/>
      <c r="C11" s="29" t="s">
        <v>59</v>
      </c>
      <c r="D11" s="79"/>
      <c r="E11" s="38"/>
      <c r="F11" s="38"/>
    </row>
    <row r="12" spans="2:6" s="32" customFormat="1" ht="15" x14ac:dyDescent="0.2">
      <c r="B12" s="80"/>
      <c r="C12" s="29" t="s">
        <v>60</v>
      </c>
      <c r="D12" s="79"/>
      <c r="E12" s="38"/>
      <c r="F12" s="38"/>
    </row>
    <row r="13" spans="2:6" s="32" customFormat="1" ht="15" x14ac:dyDescent="0.2">
      <c r="B13" s="80"/>
      <c r="C13" s="29" t="s">
        <v>61</v>
      </c>
      <c r="D13" s="79" t="s">
        <v>491</v>
      </c>
      <c r="E13" s="38"/>
      <c r="F13" s="38"/>
    </row>
    <row r="14" spans="2:6" s="32" customFormat="1" ht="15" x14ac:dyDescent="0.2">
      <c r="B14" s="80"/>
      <c r="C14" s="81"/>
      <c r="D14" s="79"/>
      <c r="E14" s="38"/>
      <c r="F14" s="38"/>
    </row>
    <row r="15" spans="2:6" s="32" customFormat="1" ht="15" x14ac:dyDescent="0.2">
      <c r="B15" s="78" t="s">
        <v>62</v>
      </c>
      <c r="C15" s="82" t="s">
        <v>63</v>
      </c>
      <c r="D15" s="79"/>
      <c r="E15" s="38"/>
      <c r="F15" s="38"/>
    </row>
    <row r="16" spans="2:6" s="32" customFormat="1" ht="15" x14ac:dyDescent="0.2">
      <c r="B16" s="80"/>
      <c r="C16" s="29" t="s">
        <v>59</v>
      </c>
      <c r="D16" s="79"/>
      <c r="E16" s="38"/>
      <c r="F16" s="38"/>
    </row>
    <row r="17" spans="2:6" x14ac:dyDescent="0.2">
      <c r="B17" s="80"/>
      <c r="C17" s="29" t="s">
        <v>60</v>
      </c>
      <c r="D17" s="79"/>
      <c r="E17" s="27"/>
      <c r="F17" s="27"/>
    </row>
    <row r="18" spans="2:6" x14ac:dyDescent="0.2">
      <c r="B18" s="83"/>
      <c r="C18" s="29" t="s">
        <v>64</v>
      </c>
      <c r="D18" s="79"/>
      <c r="E18" s="27"/>
      <c r="F18" s="27"/>
    </row>
    <row r="19" spans="2:6" ht="15" x14ac:dyDescent="0.2">
      <c r="B19" s="83"/>
      <c r="C19" s="82"/>
      <c r="D19" s="79"/>
      <c r="E19" s="27"/>
      <c r="F19" s="27"/>
    </row>
    <row r="20" spans="2:6" ht="17.25" customHeight="1" x14ac:dyDescent="0.2">
      <c r="B20" s="78">
        <v>2</v>
      </c>
      <c r="C20" s="77" t="s">
        <v>166</v>
      </c>
      <c r="D20" s="79"/>
      <c r="E20" s="27"/>
      <c r="F20" s="27"/>
    </row>
    <row r="21" spans="2:6" ht="17.25" customHeight="1" x14ac:dyDescent="0.2">
      <c r="B21" s="78"/>
      <c r="C21" s="77" t="s">
        <v>65</v>
      </c>
      <c r="D21" s="79"/>
      <c r="E21" s="27"/>
      <c r="F21" s="27"/>
    </row>
    <row r="22" spans="2:6" ht="17.25" customHeight="1" x14ac:dyDescent="0.2">
      <c r="B22" s="78"/>
      <c r="C22" s="77" t="s">
        <v>65</v>
      </c>
      <c r="D22" s="79"/>
      <c r="E22" s="27"/>
      <c r="F22" s="27"/>
    </row>
    <row r="23" spans="2:6" ht="15" x14ac:dyDescent="0.2">
      <c r="B23" s="80"/>
      <c r="C23" s="82" t="s">
        <v>66</v>
      </c>
      <c r="D23" s="79"/>
      <c r="E23" s="27"/>
      <c r="F23" s="27"/>
    </row>
    <row r="25" spans="2:6" ht="15" x14ac:dyDescent="0.2">
      <c r="B25" s="84" t="s">
        <v>54</v>
      </c>
      <c r="C25" s="85"/>
      <c r="D25" s="85"/>
      <c r="E25" s="85"/>
    </row>
    <row r="26" spans="2:6" x14ac:dyDescent="0.2">
      <c r="B26" s="5" t="s">
        <v>210</v>
      </c>
      <c r="D26" s="86"/>
      <c r="E26" s="85"/>
    </row>
    <row r="27" spans="2:6" ht="18" customHeight="1" x14ac:dyDescent="0.2">
      <c r="B27" s="85"/>
      <c r="E27" s="85"/>
    </row>
    <row r="28" spans="2:6" x14ac:dyDescent="0.2">
      <c r="B28" s="85"/>
      <c r="C28" s="85"/>
      <c r="D28" s="85"/>
      <c r="E28" s="85"/>
    </row>
    <row r="29" spans="2:6" x14ac:dyDescent="0.2">
      <c r="B29" s="85"/>
      <c r="C29" s="85"/>
      <c r="D29" s="85"/>
      <c r="E29" s="85"/>
    </row>
    <row r="30" spans="2:6" x14ac:dyDescent="0.2">
      <c r="B30" s="85"/>
      <c r="C30" s="85"/>
      <c r="D30" s="85"/>
      <c r="E30" s="85"/>
    </row>
    <row r="31" spans="2:6" x14ac:dyDescent="0.2">
      <c r="B31" s="85"/>
      <c r="C31" s="85"/>
      <c r="D31" s="85"/>
      <c r="E31" s="85"/>
    </row>
  </sheetData>
  <mergeCells count="5">
    <mergeCell ref="B6:B8"/>
    <mergeCell ref="C6:C8"/>
    <mergeCell ref="B4:F4"/>
    <mergeCell ref="B3:F3"/>
    <mergeCell ref="B2:F2"/>
  </mergeCells>
  <pageMargins left="0.75" right="0.75" top="1" bottom="1" header="0.5" footer="0.5"/>
  <pageSetup paperSize="9" scale="97"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48"/>
  <sheetViews>
    <sheetView showGridLines="0" view="pageBreakPreview" zoomScale="83" zoomScaleNormal="91" zoomScaleSheetLayoutView="83" workbookViewId="0">
      <selection activeCell="G24" sqref="G24"/>
    </sheetView>
  </sheetViews>
  <sheetFormatPr defaultColWidth="9.28515625" defaultRowHeight="14.25" x14ac:dyDescent="0.2"/>
  <cols>
    <col min="1" max="1" width="3.28515625" style="5" customWidth="1"/>
    <col min="2" max="2" width="6.28515625" style="5" customWidth="1"/>
    <col min="3" max="3" width="55.28515625" style="5" customWidth="1"/>
    <col min="4" max="4" width="11" style="34" customWidth="1"/>
    <col min="5" max="5" width="14" style="34" customWidth="1"/>
    <col min="6" max="6" width="12.140625" style="5" customWidth="1"/>
    <col min="7" max="7" width="15" style="5" customWidth="1"/>
    <col min="8" max="8" width="13.7109375" style="5" customWidth="1"/>
    <col min="9" max="10" width="13.28515625" style="5" customWidth="1"/>
    <col min="11" max="11" width="12.7109375" style="5" customWidth="1"/>
    <col min="12" max="12" width="15.7109375" style="5" customWidth="1"/>
    <col min="13" max="16384" width="9.28515625" style="5"/>
  </cols>
  <sheetData>
    <row r="2" spans="2:12" ht="15" x14ac:dyDescent="0.2">
      <c r="B2" s="36"/>
      <c r="D2" s="5"/>
      <c r="E2" s="5"/>
      <c r="F2" s="32" t="s">
        <v>403</v>
      </c>
    </row>
    <row r="3" spans="2:12" ht="15" x14ac:dyDescent="0.2">
      <c r="B3" s="32"/>
      <c r="D3" s="5"/>
      <c r="E3" s="5"/>
      <c r="F3" s="32" t="s">
        <v>467</v>
      </c>
    </row>
    <row r="4" spans="2:12" s="13" customFormat="1" ht="15" x14ac:dyDescent="0.2">
      <c r="B4" s="36"/>
      <c r="C4" s="5"/>
      <c r="D4" s="5"/>
      <c r="E4" s="5"/>
      <c r="F4" s="35" t="s">
        <v>296</v>
      </c>
      <c r="G4" s="5"/>
      <c r="H4" s="5"/>
      <c r="I4" s="5"/>
      <c r="J4" s="5"/>
      <c r="K4" s="5"/>
      <c r="L4" s="5"/>
    </row>
    <row r="5" spans="2:12" s="13" customFormat="1" ht="15" x14ac:dyDescent="0.2">
      <c r="C5" s="74"/>
      <c r="D5" s="34"/>
      <c r="E5" s="34"/>
      <c r="F5" s="187"/>
      <c r="G5" s="187"/>
      <c r="H5" s="187"/>
    </row>
    <row r="6" spans="2:12" ht="15" x14ac:dyDescent="0.2">
      <c r="B6" s="315" t="s">
        <v>193</v>
      </c>
      <c r="C6" s="317" t="s">
        <v>18</v>
      </c>
      <c r="D6" s="317" t="s">
        <v>39</v>
      </c>
      <c r="E6" s="286" t="s">
        <v>405</v>
      </c>
      <c r="F6" s="287"/>
      <c r="G6" s="288"/>
      <c r="H6" s="286" t="s">
        <v>406</v>
      </c>
      <c r="I6" s="287"/>
      <c r="J6" s="286" t="s">
        <v>466</v>
      </c>
      <c r="K6" s="288"/>
      <c r="L6" s="315" t="s">
        <v>11</v>
      </c>
    </row>
    <row r="7" spans="2:12" ht="30" x14ac:dyDescent="0.2">
      <c r="B7" s="317"/>
      <c r="C7" s="317"/>
      <c r="D7" s="317"/>
      <c r="E7" s="233" t="s">
        <v>370</v>
      </c>
      <c r="F7" s="233" t="s">
        <v>240</v>
      </c>
      <c r="G7" s="233" t="s">
        <v>208</v>
      </c>
      <c r="H7" s="233" t="s">
        <v>370</v>
      </c>
      <c r="I7" s="233" t="s">
        <v>232</v>
      </c>
      <c r="J7" s="233" t="s">
        <v>370</v>
      </c>
      <c r="K7" s="233" t="s">
        <v>232</v>
      </c>
      <c r="L7" s="315"/>
    </row>
    <row r="8" spans="2:12" ht="15" x14ac:dyDescent="0.2">
      <c r="B8" s="317"/>
      <c r="C8" s="317"/>
      <c r="D8" s="317"/>
      <c r="E8" s="233" t="s">
        <v>10</v>
      </c>
      <c r="F8" s="233" t="s">
        <v>12</v>
      </c>
      <c r="G8" s="233" t="s">
        <v>231</v>
      </c>
      <c r="H8" s="233" t="s">
        <v>10</v>
      </c>
      <c r="I8" s="233" t="s">
        <v>5</v>
      </c>
      <c r="J8" s="233" t="s">
        <v>10</v>
      </c>
      <c r="K8" s="233" t="s">
        <v>8</v>
      </c>
      <c r="L8" s="316"/>
    </row>
    <row r="9" spans="2:12" ht="15" x14ac:dyDescent="0.2">
      <c r="B9" s="233"/>
      <c r="C9" s="242"/>
      <c r="D9" s="232"/>
      <c r="E9" s="232"/>
      <c r="F9" s="189"/>
      <c r="G9" s="189"/>
      <c r="H9" s="189"/>
      <c r="I9" s="189"/>
      <c r="J9" s="189"/>
      <c r="K9" s="189"/>
      <c r="L9" s="189"/>
    </row>
    <row r="10" spans="2:12" ht="15" x14ac:dyDescent="0.2">
      <c r="B10" s="231">
        <v>1</v>
      </c>
      <c r="C10" s="188" t="s">
        <v>212</v>
      </c>
      <c r="D10" s="231" t="s">
        <v>40</v>
      </c>
      <c r="E10" s="231">
        <v>600</v>
      </c>
      <c r="F10" s="243"/>
      <c r="G10" s="243"/>
      <c r="H10" s="243"/>
      <c r="I10" s="243"/>
      <c r="J10" s="243"/>
      <c r="K10" s="189"/>
      <c r="L10" s="189"/>
    </row>
    <row r="11" spans="2:12" ht="15" x14ac:dyDescent="0.2">
      <c r="B11" s="231"/>
      <c r="C11" s="188" t="s">
        <v>343</v>
      </c>
      <c r="D11" s="231"/>
      <c r="E11" s="231" t="s">
        <v>487</v>
      </c>
      <c r="F11" s="243"/>
      <c r="G11" s="243"/>
      <c r="H11" s="243"/>
      <c r="I11" s="243"/>
      <c r="J11" s="243"/>
      <c r="K11" s="189"/>
      <c r="L11" s="189"/>
    </row>
    <row r="12" spans="2:12" ht="13.5" customHeight="1" x14ac:dyDescent="0.2">
      <c r="B12" s="231"/>
      <c r="C12" s="188" t="s">
        <v>221</v>
      </c>
      <c r="D12" s="231"/>
      <c r="E12" s="231" t="s">
        <v>488</v>
      </c>
      <c r="F12" s="243"/>
      <c r="G12" s="243"/>
      <c r="H12" s="243"/>
      <c r="I12" s="243"/>
      <c r="J12" s="243"/>
      <c r="K12" s="189"/>
      <c r="L12" s="189"/>
    </row>
    <row r="13" spans="2:12" ht="15" x14ac:dyDescent="0.2">
      <c r="B13" s="231"/>
      <c r="C13" s="188"/>
      <c r="D13" s="231"/>
      <c r="E13" s="231"/>
      <c r="F13" s="243"/>
      <c r="G13" s="243"/>
      <c r="H13" s="243"/>
      <c r="I13" s="243"/>
      <c r="J13" s="243"/>
      <c r="K13" s="189"/>
      <c r="L13" s="189"/>
    </row>
    <row r="14" spans="2:12" ht="15" x14ac:dyDescent="0.2">
      <c r="B14" s="233">
        <v>2</v>
      </c>
      <c r="C14" s="242" t="s">
        <v>173</v>
      </c>
      <c r="D14" s="231"/>
      <c r="E14" s="231"/>
      <c r="F14" s="243"/>
      <c r="G14" s="243"/>
      <c r="H14" s="243"/>
      <c r="I14" s="243"/>
      <c r="J14" s="243"/>
      <c r="K14" s="189"/>
      <c r="L14" s="189"/>
    </row>
    <row r="15" spans="2:12" ht="15" x14ac:dyDescent="0.2">
      <c r="B15" s="231">
        <f>B14+0.1</f>
        <v>2.1</v>
      </c>
      <c r="C15" s="188" t="s">
        <v>41</v>
      </c>
      <c r="D15" s="231" t="s">
        <v>42</v>
      </c>
      <c r="E15" s="231">
        <v>85</v>
      </c>
      <c r="F15" s="244">
        <v>85</v>
      </c>
      <c r="G15" s="244">
        <v>85</v>
      </c>
      <c r="H15" s="244">
        <v>85</v>
      </c>
      <c r="I15" s="244">
        <v>85</v>
      </c>
      <c r="J15" s="244">
        <v>85</v>
      </c>
      <c r="K15" s="245">
        <v>85</v>
      </c>
      <c r="L15" s="189"/>
    </row>
    <row r="16" spans="2:12" ht="15" x14ac:dyDescent="0.2">
      <c r="B16" s="231">
        <f>B15+0.1</f>
        <v>2.2000000000000002</v>
      </c>
      <c r="C16" s="188" t="s">
        <v>157</v>
      </c>
      <c r="D16" s="231" t="s">
        <v>42</v>
      </c>
      <c r="E16" s="231"/>
      <c r="F16" s="244">
        <v>76.37</v>
      </c>
      <c r="G16" s="244">
        <v>76.37</v>
      </c>
      <c r="H16" s="244"/>
      <c r="I16" s="244">
        <v>85</v>
      </c>
      <c r="J16" s="244"/>
      <c r="K16" s="245">
        <v>85</v>
      </c>
      <c r="L16" s="189"/>
    </row>
    <row r="17" spans="2:12" ht="15" x14ac:dyDescent="0.2">
      <c r="B17" s="231"/>
      <c r="C17" s="188"/>
      <c r="D17" s="231"/>
      <c r="E17" s="231"/>
      <c r="F17" s="244"/>
      <c r="G17" s="244"/>
      <c r="H17" s="244"/>
      <c r="I17" s="244"/>
      <c r="J17" s="244"/>
      <c r="K17" s="245"/>
      <c r="L17" s="189"/>
    </row>
    <row r="18" spans="2:12" ht="15" x14ac:dyDescent="0.2">
      <c r="B18" s="233">
        <v>3</v>
      </c>
      <c r="C18" s="242" t="s">
        <v>174</v>
      </c>
      <c r="D18" s="231"/>
      <c r="E18" s="231"/>
      <c r="F18" s="244"/>
      <c r="G18" s="244"/>
      <c r="H18" s="244"/>
      <c r="I18" s="244"/>
      <c r="J18" s="244"/>
      <c r="K18" s="245"/>
      <c r="L18" s="189"/>
    </row>
    <row r="19" spans="2:12" ht="15" x14ac:dyDescent="0.2">
      <c r="B19" s="231">
        <f>B18+0.1</f>
        <v>3.1</v>
      </c>
      <c r="C19" s="188" t="s">
        <v>43</v>
      </c>
      <c r="D19" s="231" t="s">
        <v>42</v>
      </c>
      <c r="E19" s="231">
        <v>85</v>
      </c>
      <c r="F19" s="244">
        <v>85</v>
      </c>
      <c r="G19" s="244">
        <v>85</v>
      </c>
      <c r="H19" s="244">
        <v>85</v>
      </c>
      <c r="I19" s="244">
        <v>85</v>
      </c>
      <c r="J19" s="244">
        <v>85</v>
      </c>
      <c r="K19" s="245">
        <v>85</v>
      </c>
      <c r="L19" s="189"/>
    </row>
    <row r="20" spans="2:12" ht="15" x14ac:dyDescent="0.2">
      <c r="B20" s="231">
        <f>B19+0.1</f>
        <v>3.2</v>
      </c>
      <c r="C20" s="188" t="s">
        <v>158</v>
      </c>
      <c r="D20" s="231" t="s">
        <v>42</v>
      </c>
      <c r="E20" s="231"/>
      <c r="F20" s="244">
        <v>66.260000000000005</v>
      </c>
      <c r="G20" s="244">
        <f>F20</f>
        <v>66.260000000000005</v>
      </c>
      <c r="H20" s="244"/>
      <c r="I20" s="244">
        <v>85</v>
      </c>
      <c r="J20" s="244"/>
      <c r="K20" s="245">
        <v>85.07</v>
      </c>
      <c r="L20" s="189"/>
    </row>
    <row r="21" spans="2:12" ht="15" x14ac:dyDescent="0.2">
      <c r="B21" s="231"/>
      <c r="C21" s="188"/>
      <c r="D21" s="231"/>
      <c r="E21" s="231"/>
      <c r="F21" s="244"/>
      <c r="G21" s="244"/>
      <c r="H21" s="244"/>
      <c r="I21" s="244"/>
      <c r="J21" s="244"/>
      <c r="K21" s="245"/>
      <c r="L21" s="189"/>
    </row>
    <row r="22" spans="2:12" ht="15" x14ac:dyDescent="0.2">
      <c r="B22" s="233">
        <v>4</v>
      </c>
      <c r="C22" s="242" t="s">
        <v>56</v>
      </c>
      <c r="D22" s="231"/>
      <c r="E22" s="231"/>
      <c r="F22" s="246"/>
      <c r="G22" s="244"/>
      <c r="H22" s="244"/>
      <c r="I22" s="244"/>
      <c r="J22" s="244"/>
      <c r="K22" s="245"/>
      <c r="L22" s="189"/>
    </row>
    <row r="23" spans="2:12" ht="15.75" x14ac:dyDescent="0.25">
      <c r="B23" s="231">
        <f>B22+0.1</f>
        <v>4.0999999999999996</v>
      </c>
      <c r="C23" s="188" t="s">
        <v>44</v>
      </c>
      <c r="D23" s="231" t="s">
        <v>45</v>
      </c>
      <c r="E23" s="231"/>
      <c r="F23" s="247">
        <v>3262.15894386122</v>
      </c>
      <c r="G23" s="248">
        <f>F23</f>
        <v>3262.15894386122</v>
      </c>
      <c r="H23" s="244"/>
      <c r="I23" s="255">
        <v>4027.5089680000001</v>
      </c>
      <c r="J23" s="244"/>
      <c r="K23" s="249">
        <v>4236.46</v>
      </c>
      <c r="L23" s="189"/>
    </row>
    <row r="24" spans="2:12" ht="15" x14ac:dyDescent="0.2">
      <c r="B24" s="231">
        <f>B23+0.1</f>
        <v>4.1999999999999993</v>
      </c>
      <c r="C24" s="190" t="s">
        <v>159</v>
      </c>
      <c r="D24" s="231" t="s">
        <v>45</v>
      </c>
      <c r="E24" s="231"/>
      <c r="F24" s="248">
        <v>3482.4559999999992</v>
      </c>
      <c r="G24" s="248">
        <f>F24</f>
        <v>3482.4559999999992</v>
      </c>
      <c r="H24" s="244"/>
      <c r="I24" s="244">
        <v>4263.41</v>
      </c>
      <c r="J24" s="244"/>
      <c r="K24" s="245">
        <v>4471.2</v>
      </c>
      <c r="L24" s="189"/>
    </row>
    <row r="25" spans="2:12" ht="15" x14ac:dyDescent="0.2">
      <c r="B25" s="231"/>
      <c r="C25" s="190"/>
      <c r="D25" s="231"/>
      <c r="E25" s="231"/>
      <c r="F25" s="244"/>
      <c r="G25" s="244"/>
      <c r="H25" s="244"/>
      <c r="I25" s="244"/>
      <c r="J25" s="244"/>
      <c r="K25" s="245"/>
      <c r="L25" s="189"/>
    </row>
    <row r="26" spans="2:12" ht="15" x14ac:dyDescent="0.2">
      <c r="B26" s="233">
        <v>5</v>
      </c>
      <c r="C26" s="250" t="s">
        <v>171</v>
      </c>
      <c r="D26" s="231"/>
      <c r="E26" s="231"/>
      <c r="F26" s="244"/>
      <c r="G26" s="244"/>
      <c r="H26" s="244"/>
      <c r="I26" s="244"/>
      <c r="J26" s="244"/>
      <c r="K26" s="245"/>
      <c r="L26" s="189"/>
    </row>
    <row r="27" spans="2:12" ht="15" x14ac:dyDescent="0.2">
      <c r="B27" s="231">
        <f>B26+0.1</f>
        <v>5.0999999999999996</v>
      </c>
      <c r="C27" s="190" t="s">
        <v>46</v>
      </c>
      <c r="D27" s="231" t="s">
        <v>42</v>
      </c>
      <c r="E27" s="231">
        <v>5.25</v>
      </c>
      <c r="F27" s="244">
        <v>5.25</v>
      </c>
      <c r="G27" s="244">
        <v>5.25</v>
      </c>
      <c r="H27" s="244">
        <v>5.25</v>
      </c>
      <c r="I27" s="244">
        <v>5.25</v>
      </c>
      <c r="J27" s="244">
        <v>5.25</v>
      </c>
      <c r="K27" s="245">
        <v>5.25</v>
      </c>
      <c r="L27" s="189"/>
    </row>
    <row r="28" spans="2:12" ht="16.5" customHeight="1" x14ac:dyDescent="0.2">
      <c r="B28" s="231">
        <f>B27+0.1</f>
        <v>5.1999999999999993</v>
      </c>
      <c r="C28" s="190" t="s">
        <v>160</v>
      </c>
      <c r="D28" s="231" t="s">
        <v>42</v>
      </c>
      <c r="E28" s="231"/>
      <c r="F28" s="248">
        <f>F29/F24*100</f>
        <v>6.3259106831149996</v>
      </c>
      <c r="G28" s="254">
        <f>F28</f>
        <v>6.3259106831149996</v>
      </c>
      <c r="H28" s="244"/>
      <c r="I28" s="248">
        <f>I29/I24*100</f>
        <v>5.5331537900412995</v>
      </c>
      <c r="J28" s="244"/>
      <c r="K28" s="245">
        <v>5.25</v>
      </c>
      <c r="L28" s="189"/>
    </row>
    <row r="29" spans="2:12" ht="16.5" customHeight="1" x14ac:dyDescent="0.2">
      <c r="B29" s="231">
        <f>B28+0.1</f>
        <v>5.2999999999999989</v>
      </c>
      <c r="C29" s="190" t="s">
        <v>160</v>
      </c>
      <c r="D29" s="231" t="s">
        <v>45</v>
      </c>
      <c r="E29" s="231"/>
      <c r="F29" s="248">
        <f>F24-F23</f>
        <v>220.29705613877923</v>
      </c>
      <c r="G29" s="248">
        <f>F29</f>
        <v>220.29705613877923</v>
      </c>
      <c r="H29" s="248"/>
      <c r="I29" s="248">
        <f>I24-I23</f>
        <v>235.90103199999976</v>
      </c>
      <c r="J29" s="244"/>
      <c r="K29" s="245">
        <v>234.74</v>
      </c>
      <c r="L29" s="189"/>
    </row>
    <row r="30" spans="2:12" ht="15" x14ac:dyDescent="0.2">
      <c r="B30" s="231">
        <f>B29+0.1</f>
        <v>5.3999999999999986</v>
      </c>
      <c r="C30" s="190" t="s">
        <v>47</v>
      </c>
      <c r="D30" s="231" t="s">
        <v>45</v>
      </c>
      <c r="E30" s="231"/>
      <c r="F30" s="248">
        <f>F23</f>
        <v>3262.15894386122</v>
      </c>
      <c r="G30" s="248">
        <f>F30</f>
        <v>3262.15894386122</v>
      </c>
      <c r="H30" s="248"/>
      <c r="I30" s="248">
        <f>I23</f>
        <v>4027.5089680000001</v>
      </c>
      <c r="J30" s="244"/>
      <c r="K30" s="245">
        <f>K23</f>
        <v>4236.46</v>
      </c>
      <c r="L30" s="189"/>
    </row>
    <row r="31" spans="2:12" ht="15" x14ac:dyDescent="0.2">
      <c r="B31" s="231"/>
      <c r="C31" s="190"/>
      <c r="D31" s="231"/>
      <c r="E31" s="231"/>
      <c r="F31" s="244"/>
      <c r="G31" s="244"/>
      <c r="H31" s="244"/>
      <c r="I31" s="244"/>
      <c r="J31" s="244"/>
      <c r="K31" s="245"/>
      <c r="L31" s="189"/>
    </row>
    <row r="32" spans="2:12" ht="15" x14ac:dyDescent="0.2">
      <c r="B32" s="233">
        <v>6</v>
      </c>
      <c r="C32" s="250" t="s">
        <v>207</v>
      </c>
      <c r="D32" s="231"/>
      <c r="E32" s="231"/>
      <c r="F32" s="244"/>
      <c r="G32" s="244"/>
      <c r="H32" s="244"/>
      <c r="I32" s="244"/>
      <c r="J32" s="244"/>
      <c r="K32" s="245"/>
      <c r="L32" s="189"/>
    </row>
    <row r="33" spans="2:12" ht="15" x14ac:dyDescent="0.2">
      <c r="B33" s="231">
        <f>B32+0.1</f>
        <v>6.1</v>
      </c>
      <c r="C33" s="190" t="s">
        <v>48</v>
      </c>
      <c r="D33" s="231" t="s">
        <v>49</v>
      </c>
      <c r="E33" s="231">
        <v>2300</v>
      </c>
      <c r="F33" s="244">
        <v>2300</v>
      </c>
      <c r="G33" s="244">
        <v>2400</v>
      </c>
      <c r="H33" s="244">
        <v>2300</v>
      </c>
      <c r="I33" s="244">
        <v>2300</v>
      </c>
      <c r="J33" s="244">
        <v>2300</v>
      </c>
      <c r="K33" s="245">
        <v>2300</v>
      </c>
      <c r="L33" s="189"/>
    </row>
    <row r="34" spans="2:12" ht="15" x14ac:dyDescent="0.2">
      <c r="B34" s="231">
        <f>B33+0.1</f>
        <v>6.1999999999999993</v>
      </c>
      <c r="C34" s="188" t="s">
        <v>161</v>
      </c>
      <c r="D34" s="231" t="s">
        <v>49</v>
      </c>
      <c r="E34" s="231"/>
      <c r="F34" s="248">
        <f>G34</f>
        <v>2371.4051816875794</v>
      </c>
      <c r="G34" s="248">
        <v>2371.4051816875794</v>
      </c>
      <c r="H34" s="244"/>
      <c r="I34" s="244">
        <v>2300</v>
      </c>
      <c r="J34" s="244"/>
      <c r="K34" s="245">
        <v>2300</v>
      </c>
      <c r="L34" s="189"/>
    </row>
    <row r="35" spans="2:12" ht="15" x14ac:dyDescent="0.2">
      <c r="B35" s="231"/>
      <c r="C35" s="188"/>
      <c r="D35" s="231"/>
      <c r="E35" s="231"/>
      <c r="F35" s="244"/>
      <c r="G35" s="244"/>
      <c r="H35" s="244"/>
      <c r="I35" s="244"/>
      <c r="J35" s="244"/>
      <c r="K35" s="245"/>
      <c r="L35" s="189"/>
    </row>
    <row r="36" spans="2:12" ht="15" x14ac:dyDescent="0.2">
      <c r="B36" s="233">
        <v>7</v>
      </c>
      <c r="C36" s="242" t="s">
        <v>175</v>
      </c>
      <c r="D36" s="231"/>
      <c r="E36" s="231"/>
      <c r="F36" s="244"/>
      <c r="G36" s="244"/>
      <c r="H36" s="244"/>
      <c r="I36" s="244"/>
      <c r="J36" s="244"/>
      <c r="K36" s="245"/>
      <c r="L36" s="189"/>
    </row>
    <row r="37" spans="2:12" ht="15" x14ac:dyDescent="0.2">
      <c r="B37" s="231">
        <f>B36+0.1</f>
        <v>7.1</v>
      </c>
      <c r="C37" s="188" t="s">
        <v>50</v>
      </c>
      <c r="D37" s="231" t="s">
        <v>51</v>
      </c>
      <c r="E37" s="231">
        <v>0.5</v>
      </c>
      <c r="F37" s="244">
        <v>0.5</v>
      </c>
      <c r="G37" s="244">
        <v>0.5</v>
      </c>
      <c r="H37" s="244">
        <v>0.5</v>
      </c>
      <c r="I37" s="244">
        <v>0.5</v>
      </c>
      <c r="J37" s="244">
        <v>0.5</v>
      </c>
      <c r="K37" s="245">
        <v>0.5</v>
      </c>
      <c r="L37" s="189"/>
    </row>
    <row r="38" spans="2:12" ht="15" x14ac:dyDescent="0.2">
      <c r="B38" s="231">
        <f>B37+0.1</f>
        <v>7.1999999999999993</v>
      </c>
      <c r="C38" s="188" t="s">
        <v>162</v>
      </c>
      <c r="D38" s="231" t="s">
        <v>51</v>
      </c>
      <c r="E38" s="231"/>
      <c r="F38" s="244">
        <v>0.22</v>
      </c>
      <c r="G38" s="244">
        <v>0.22</v>
      </c>
      <c r="H38" s="244"/>
      <c r="I38" s="244">
        <v>0.5</v>
      </c>
      <c r="J38" s="244"/>
      <c r="K38" s="245">
        <v>0.5</v>
      </c>
      <c r="L38" s="189"/>
    </row>
    <row r="39" spans="2:12" ht="15" x14ac:dyDescent="0.2">
      <c r="B39" s="231"/>
      <c r="C39" s="188"/>
      <c r="D39" s="231"/>
      <c r="E39" s="231"/>
      <c r="F39" s="244"/>
      <c r="G39" s="244"/>
      <c r="H39" s="244"/>
      <c r="I39" s="244"/>
      <c r="J39" s="244"/>
      <c r="K39" s="245"/>
      <c r="L39" s="189"/>
    </row>
    <row r="40" spans="2:12" ht="15" x14ac:dyDescent="0.2">
      <c r="B40" s="233">
        <v>8</v>
      </c>
      <c r="C40" s="242" t="s">
        <v>53</v>
      </c>
      <c r="D40" s="231"/>
      <c r="E40" s="231"/>
      <c r="F40" s="244"/>
      <c r="G40" s="244"/>
      <c r="H40" s="244"/>
      <c r="I40" s="244"/>
      <c r="J40" s="244"/>
      <c r="K40" s="245"/>
      <c r="L40" s="189"/>
    </row>
    <row r="41" spans="2:12" x14ac:dyDescent="0.2">
      <c r="B41" s="231">
        <f>B40+0.1</f>
        <v>8.1</v>
      </c>
      <c r="C41" s="188" t="s">
        <v>52</v>
      </c>
      <c r="D41" s="231" t="s">
        <v>42</v>
      </c>
      <c r="E41" s="231">
        <v>0.8</v>
      </c>
      <c r="F41" s="251">
        <v>0.8</v>
      </c>
      <c r="G41" s="251">
        <v>0.8</v>
      </c>
      <c r="H41" s="251">
        <v>0.8</v>
      </c>
      <c r="I41" s="251">
        <v>0.8</v>
      </c>
      <c r="J41" s="251">
        <v>0.8</v>
      </c>
      <c r="K41" s="251">
        <v>0.8</v>
      </c>
      <c r="L41" s="189"/>
    </row>
    <row r="42" spans="2:12" ht="15" x14ac:dyDescent="0.2">
      <c r="B42" s="231">
        <f>B41+0.1</f>
        <v>8.1999999999999993</v>
      </c>
      <c r="C42" s="188" t="s">
        <v>163</v>
      </c>
      <c r="D42" s="231" t="s">
        <v>42</v>
      </c>
      <c r="E42" s="231"/>
      <c r="F42" s="248"/>
      <c r="G42" s="248"/>
      <c r="H42" s="244"/>
      <c r="I42" s="244">
        <v>0.8</v>
      </c>
      <c r="J42" s="244"/>
      <c r="K42" s="245">
        <v>0.8</v>
      </c>
      <c r="L42" s="189"/>
    </row>
    <row r="43" spans="2:12" ht="15" x14ac:dyDescent="0.2">
      <c r="B43" s="233"/>
      <c r="C43" s="242"/>
      <c r="D43" s="232"/>
      <c r="E43" s="232"/>
      <c r="F43" s="233"/>
      <c r="G43" s="233"/>
      <c r="H43" s="233"/>
      <c r="I43" s="233"/>
      <c r="J43" s="233"/>
      <c r="K43" s="189"/>
      <c r="L43" s="189"/>
    </row>
    <row r="44" spans="2:12" ht="15" x14ac:dyDescent="0.2">
      <c r="B44" s="252"/>
      <c r="C44" s="253"/>
      <c r="D44" s="191"/>
      <c r="E44" s="191"/>
      <c r="F44" s="252"/>
      <c r="G44" s="252"/>
      <c r="H44" s="252"/>
      <c r="I44" s="252"/>
      <c r="J44" s="252"/>
    </row>
    <row r="45" spans="2:12" ht="16.5" x14ac:dyDescent="0.2">
      <c r="D45" s="192"/>
      <c r="E45" s="192"/>
      <c r="F45" s="87"/>
      <c r="G45" s="87"/>
      <c r="H45" s="87"/>
      <c r="I45" s="87"/>
      <c r="J45" s="87"/>
    </row>
    <row r="46" spans="2:12" ht="16.5" x14ac:dyDescent="0.2">
      <c r="B46" s="13"/>
      <c r="F46" s="87"/>
      <c r="G46" s="87"/>
      <c r="H46" s="87"/>
      <c r="I46" s="87"/>
      <c r="J46" s="87"/>
    </row>
    <row r="47" spans="2:12" ht="16.5" x14ac:dyDescent="0.2">
      <c r="C47" s="47"/>
      <c r="F47" s="87"/>
      <c r="G47" s="87"/>
      <c r="H47" s="87"/>
      <c r="I47" s="87"/>
      <c r="J47" s="87"/>
    </row>
    <row r="48" spans="2:12" x14ac:dyDescent="0.2">
      <c r="F48" s="193"/>
      <c r="G48" s="193"/>
      <c r="H48" s="193"/>
      <c r="I48" s="193"/>
      <c r="J48" s="193"/>
    </row>
  </sheetData>
  <mergeCells count="7">
    <mergeCell ref="L6:L8"/>
    <mergeCell ref="B6:B8"/>
    <mergeCell ref="C6:C8"/>
    <mergeCell ref="D6:D8"/>
    <mergeCell ref="E6:G6"/>
    <mergeCell ref="H6:I6"/>
    <mergeCell ref="J6:K6"/>
  </mergeCells>
  <pageMargins left="1.41" right="0.5" top="0.43" bottom="0.63" header="0.5" footer="0.5"/>
  <pageSetup paperSize="9" scale="68"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V53"/>
  <sheetViews>
    <sheetView showGridLines="0" showWhiteSpace="0" view="pageBreakPreview" zoomScale="60" zoomScaleNormal="91" zoomScalePageLayoutView="48" workbookViewId="0">
      <selection activeCell="F3" sqref="F3"/>
    </sheetView>
  </sheetViews>
  <sheetFormatPr defaultColWidth="9.28515625" defaultRowHeight="14.25" x14ac:dyDescent="0.2"/>
  <cols>
    <col min="1" max="1" width="2.28515625" style="88" customWidth="1"/>
    <col min="2" max="2" width="9.28515625" style="88"/>
    <col min="3" max="3" width="57.5703125" style="88" customWidth="1"/>
    <col min="4" max="4" width="8.42578125" style="224" customWidth="1"/>
    <col min="5" max="22" width="13.5703125" style="88" bestFit="1" customWidth="1"/>
    <col min="23" max="16384" width="9.28515625" style="88"/>
  </cols>
  <sheetData>
    <row r="2" spans="2:22" ht="15" x14ac:dyDescent="0.2">
      <c r="M2" s="32" t="s">
        <v>403</v>
      </c>
    </row>
    <row r="3" spans="2:22" ht="15" x14ac:dyDescent="0.2">
      <c r="M3" s="32" t="s">
        <v>467</v>
      </c>
    </row>
    <row r="4" spans="2:22" ht="15" x14ac:dyDescent="0.2">
      <c r="M4" s="35" t="s">
        <v>344</v>
      </c>
    </row>
    <row r="6" spans="2:22" ht="15" x14ac:dyDescent="0.2">
      <c r="B6" s="321" t="s">
        <v>193</v>
      </c>
      <c r="C6" s="321" t="s">
        <v>18</v>
      </c>
      <c r="D6" s="321" t="s">
        <v>39</v>
      </c>
      <c r="E6" s="318" t="s">
        <v>405</v>
      </c>
      <c r="F6" s="319"/>
      <c r="G6" s="319"/>
      <c r="H6" s="319"/>
      <c r="I6" s="319"/>
      <c r="J6" s="319"/>
      <c r="K6" s="319"/>
      <c r="L6" s="319"/>
      <c r="M6" s="319"/>
      <c r="N6" s="319"/>
      <c r="O6" s="319"/>
      <c r="P6" s="320"/>
      <c r="Q6" s="321" t="s">
        <v>406</v>
      </c>
      <c r="R6" s="321"/>
      <c r="S6" s="321"/>
      <c r="T6" s="321"/>
      <c r="U6" s="321"/>
      <c r="V6" s="321"/>
    </row>
    <row r="7" spans="2:22" ht="15" x14ac:dyDescent="0.2">
      <c r="B7" s="321"/>
      <c r="C7" s="321"/>
      <c r="D7" s="321"/>
      <c r="E7" s="210" t="s">
        <v>141</v>
      </c>
      <c r="F7" s="210" t="s">
        <v>142</v>
      </c>
      <c r="G7" s="210" t="s">
        <v>143</v>
      </c>
      <c r="H7" s="210" t="s">
        <v>144</v>
      </c>
      <c r="I7" s="210" t="s">
        <v>145</v>
      </c>
      <c r="J7" s="210" t="s">
        <v>146</v>
      </c>
      <c r="K7" s="210" t="s">
        <v>147</v>
      </c>
      <c r="L7" s="210" t="s">
        <v>148</v>
      </c>
      <c r="M7" s="210" t="s">
        <v>149</v>
      </c>
      <c r="N7" s="210" t="s">
        <v>150</v>
      </c>
      <c r="O7" s="210" t="s">
        <v>151</v>
      </c>
      <c r="P7" s="210" t="s">
        <v>152</v>
      </c>
      <c r="Q7" s="210" t="s">
        <v>141</v>
      </c>
      <c r="R7" s="210" t="s">
        <v>142</v>
      </c>
      <c r="S7" s="210" t="s">
        <v>143</v>
      </c>
      <c r="T7" s="210" t="s">
        <v>144</v>
      </c>
      <c r="U7" s="210" t="s">
        <v>145</v>
      </c>
      <c r="V7" s="210" t="s">
        <v>146</v>
      </c>
    </row>
    <row r="8" spans="2:22" ht="15" x14ac:dyDescent="0.2">
      <c r="B8" s="210" t="s">
        <v>67</v>
      </c>
      <c r="C8" s="213" t="s">
        <v>301</v>
      </c>
      <c r="E8" s="215"/>
      <c r="F8" s="215"/>
      <c r="G8" s="215"/>
      <c r="H8" s="215"/>
      <c r="I8" s="215"/>
      <c r="J8" s="215"/>
      <c r="K8" s="215"/>
      <c r="L8" s="215"/>
      <c r="M8" s="215"/>
      <c r="N8" s="215"/>
      <c r="O8" s="215"/>
      <c r="P8" s="215"/>
      <c r="Q8" s="215"/>
      <c r="R8" s="215"/>
      <c r="S8" s="215"/>
      <c r="T8" s="215"/>
      <c r="U8" s="215"/>
      <c r="V8" s="215"/>
    </row>
    <row r="9" spans="2:22" x14ac:dyDescent="0.2">
      <c r="B9" s="214">
        <v>1</v>
      </c>
      <c r="C9" s="215" t="s">
        <v>302</v>
      </c>
      <c r="D9" s="214" t="s">
        <v>304</v>
      </c>
      <c r="E9" s="218">
        <v>371733.00000000501</v>
      </c>
      <c r="F9" s="218">
        <v>330052.39000000455</v>
      </c>
      <c r="G9" s="218">
        <v>281323.81000000436</v>
      </c>
      <c r="H9" s="218">
        <v>253322.00000000463</v>
      </c>
      <c r="I9" s="218">
        <v>282814.77000000456</v>
      </c>
      <c r="J9" s="218">
        <v>299990.26000000443</v>
      </c>
      <c r="K9" s="218">
        <v>279571.00400000397</v>
      </c>
      <c r="L9" s="218">
        <v>308680.59400000377</v>
      </c>
      <c r="M9" s="218">
        <v>347324.76400000369</v>
      </c>
      <c r="N9" s="218">
        <v>421308.00400000362</v>
      </c>
      <c r="O9" s="218">
        <v>389352.01400000369</v>
      </c>
      <c r="P9" s="218">
        <v>338579.38400000369</v>
      </c>
      <c r="Q9" s="218">
        <v>342459</v>
      </c>
      <c r="R9" s="218">
        <v>325362.79400000349</v>
      </c>
      <c r="S9" s="218">
        <v>341088.82400000328</v>
      </c>
      <c r="T9" s="218">
        <v>314703.4840000032</v>
      </c>
      <c r="U9" s="218">
        <v>235368.61400000332</v>
      </c>
      <c r="V9" s="218">
        <v>203671.10400000354</v>
      </c>
    </row>
    <row r="10" spans="2:22" x14ac:dyDescent="0.2">
      <c r="B10" s="214">
        <f>B9+1</f>
        <v>2</v>
      </c>
      <c r="C10" s="215" t="s">
        <v>303</v>
      </c>
      <c r="D10" s="217" t="s">
        <v>433</v>
      </c>
      <c r="E10" s="220">
        <v>199.874605300491</v>
      </c>
      <c r="F10" s="220">
        <v>182.14139725191617</v>
      </c>
      <c r="G10" s="220">
        <v>158.82278238445664</v>
      </c>
      <c r="H10" s="220">
        <v>143.94864536800131</v>
      </c>
      <c r="I10" s="220">
        <v>162.10610353668449</v>
      </c>
      <c r="J10" s="220">
        <v>173.17777374007247</v>
      </c>
      <c r="K10" s="220">
        <v>159.51429225331046</v>
      </c>
      <c r="L10" s="220">
        <v>169.99847064953664</v>
      </c>
      <c r="M10" s="220">
        <v>197.48008258687852</v>
      </c>
      <c r="N10" s="220">
        <v>246.79028596074505</v>
      </c>
      <c r="O10" s="220">
        <v>231.99005210951964</v>
      </c>
      <c r="P10" s="220">
        <v>199.23661209575587</v>
      </c>
      <c r="Q10" s="220">
        <v>199.03290000000001</v>
      </c>
      <c r="R10" s="220">
        <v>177.29892070217176</v>
      </c>
      <c r="S10" s="220">
        <v>178.52293572279714</v>
      </c>
      <c r="T10" s="220">
        <v>163.38339782003851</v>
      </c>
      <c r="U10" s="220">
        <v>124.10322896605024</v>
      </c>
      <c r="V10" s="220">
        <v>105.92591496917338</v>
      </c>
    </row>
    <row r="11" spans="2:22" ht="15" x14ac:dyDescent="0.2">
      <c r="B11" s="210" t="s">
        <v>71</v>
      </c>
      <c r="C11" s="213" t="s">
        <v>305</v>
      </c>
      <c r="D11" s="214"/>
      <c r="E11" s="218"/>
      <c r="F11" s="218"/>
      <c r="G11" s="218"/>
      <c r="H11" s="218"/>
      <c r="I11" s="218"/>
      <c r="J11" s="218"/>
      <c r="K11" s="221"/>
      <c r="L11" s="221"/>
      <c r="M11" s="221"/>
      <c r="N11" s="221"/>
      <c r="O11" s="221"/>
      <c r="P11" s="221"/>
      <c r="Q11" s="221"/>
      <c r="R11" s="221"/>
      <c r="S11" s="221"/>
      <c r="T11" s="221"/>
      <c r="U11" s="221"/>
      <c r="V11" s="221"/>
    </row>
    <row r="12" spans="2:22" x14ac:dyDescent="0.2">
      <c r="B12" s="214">
        <f>B10+1</f>
        <v>3</v>
      </c>
      <c r="C12" s="215" t="s">
        <v>306</v>
      </c>
      <c r="D12" s="214" t="s">
        <v>304</v>
      </c>
      <c r="E12" s="218">
        <v>339456.09</v>
      </c>
      <c r="F12" s="218">
        <v>349937.1100000001</v>
      </c>
      <c r="G12" s="218">
        <v>370692.81999999995</v>
      </c>
      <c r="H12" s="218">
        <v>278162.26999999984</v>
      </c>
      <c r="I12" s="218">
        <v>295146.46999999997</v>
      </c>
      <c r="J12" s="218">
        <v>333515.0299999998</v>
      </c>
      <c r="K12" s="218">
        <v>378618.75999999966</v>
      </c>
      <c r="L12" s="218">
        <v>274043.2300000001</v>
      </c>
      <c r="M12" s="218">
        <v>235464.94</v>
      </c>
      <c r="N12" s="218">
        <v>298014.21999999991</v>
      </c>
      <c r="O12" s="218">
        <v>341693.99000000011</v>
      </c>
      <c r="P12" s="218">
        <v>411789.10999999987</v>
      </c>
      <c r="Q12" s="218">
        <v>332250.73999999964</v>
      </c>
      <c r="R12" s="218">
        <v>352839.73999999987</v>
      </c>
      <c r="S12" s="218">
        <v>334428.58000000019</v>
      </c>
      <c r="T12" s="218">
        <v>297191.54999999993</v>
      </c>
      <c r="U12" s="218">
        <v>336342.55000000028</v>
      </c>
      <c r="V12" s="218">
        <v>319243.99999999977</v>
      </c>
    </row>
    <row r="13" spans="2:22" x14ac:dyDescent="0.2">
      <c r="B13" s="214">
        <f>B12+1</f>
        <v>4</v>
      </c>
      <c r="C13" s="215" t="s">
        <v>396</v>
      </c>
      <c r="D13" s="214" t="s">
        <v>304</v>
      </c>
      <c r="E13" s="218"/>
      <c r="F13" s="218"/>
      <c r="G13" s="218"/>
      <c r="H13" s="218"/>
      <c r="I13" s="218"/>
      <c r="J13" s="218"/>
      <c r="K13" s="221"/>
      <c r="L13" s="221"/>
      <c r="M13" s="221"/>
      <c r="N13" s="221"/>
      <c r="O13" s="221"/>
      <c r="P13" s="221"/>
      <c r="Q13" s="221"/>
      <c r="R13" s="221"/>
      <c r="S13" s="221"/>
      <c r="T13" s="221"/>
      <c r="U13" s="221"/>
      <c r="V13" s="221"/>
    </row>
    <row r="14" spans="2:22" ht="15" x14ac:dyDescent="0.2">
      <c r="B14" s="214">
        <f>B13+1</f>
        <v>5</v>
      </c>
      <c r="C14" s="215" t="s">
        <v>307</v>
      </c>
      <c r="D14" s="214" t="s">
        <v>304</v>
      </c>
      <c r="E14" s="225">
        <f>E12+E13</f>
        <v>339456.09</v>
      </c>
      <c r="F14" s="225">
        <f t="shared" ref="F14:V14" si="0">F12+F13</f>
        <v>349937.1100000001</v>
      </c>
      <c r="G14" s="225">
        <f t="shared" si="0"/>
        <v>370692.81999999995</v>
      </c>
      <c r="H14" s="225">
        <f t="shared" si="0"/>
        <v>278162.26999999984</v>
      </c>
      <c r="I14" s="225">
        <f t="shared" si="0"/>
        <v>295146.46999999997</v>
      </c>
      <c r="J14" s="225">
        <f t="shared" si="0"/>
        <v>333515.0299999998</v>
      </c>
      <c r="K14" s="225">
        <f t="shared" si="0"/>
        <v>378618.75999999966</v>
      </c>
      <c r="L14" s="225">
        <f t="shared" si="0"/>
        <v>274043.2300000001</v>
      </c>
      <c r="M14" s="225">
        <f t="shared" si="0"/>
        <v>235464.94</v>
      </c>
      <c r="N14" s="225">
        <f t="shared" si="0"/>
        <v>298014.21999999991</v>
      </c>
      <c r="O14" s="225">
        <f t="shared" si="0"/>
        <v>341693.99000000011</v>
      </c>
      <c r="P14" s="225">
        <f t="shared" si="0"/>
        <v>411789.10999999987</v>
      </c>
      <c r="Q14" s="225">
        <f t="shared" si="0"/>
        <v>332250.73999999964</v>
      </c>
      <c r="R14" s="225">
        <f t="shared" si="0"/>
        <v>352839.73999999987</v>
      </c>
      <c r="S14" s="225">
        <f t="shared" si="0"/>
        <v>334428.58000000019</v>
      </c>
      <c r="T14" s="225">
        <f t="shared" si="0"/>
        <v>297191.54999999993</v>
      </c>
      <c r="U14" s="225">
        <f t="shared" si="0"/>
        <v>336342.55000000028</v>
      </c>
      <c r="V14" s="225">
        <f t="shared" si="0"/>
        <v>319243.99999999977</v>
      </c>
    </row>
    <row r="15" spans="2:22" x14ac:dyDescent="0.2">
      <c r="B15" s="214">
        <f>B14+1</f>
        <v>6</v>
      </c>
      <c r="C15" s="215" t="s">
        <v>308</v>
      </c>
      <c r="D15" s="214" t="s">
        <v>304</v>
      </c>
      <c r="E15" s="218">
        <v>2715.6487199998228</v>
      </c>
      <c r="F15" s="218">
        <v>2799.4968799999915</v>
      </c>
      <c r="G15" s="218">
        <v>2965.5425600000308</v>
      </c>
      <c r="H15" s="218">
        <v>2225.2981600000057</v>
      </c>
      <c r="I15" s="218">
        <v>2361.1717599998228</v>
      </c>
      <c r="J15" s="218">
        <v>2668.1202400000184</v>
      </c>
      <c r="K15" s="218">
        <v>3028.9500799999805</v>
      </c>
      <c r="L15" s="218">
        <v>2192.3458400000236</v>
      </c>
      <c r="M15" s="218">
        <v>1883.7195200000133</v>
      </c>
      <c r="N15" s="218">
        <v>2384.1137599999784</v>
      </c>
      <c r="O15" s="218">
        <v>2733.5519199999981</v>
      </c>
      <c r="P15" s="218">
        <v>3294.3128799999831</v>
      </c>
      <c r="Q15" s="218">
        <v>2658.0059200000251</v>
      </c>
      <c r="R15" s="218">
        <v>2822.7179200000246</v>
      </c>
      <c r="S15" s="218">
        <v>2675.4286399999983</v>
      </c>
      <c r="T15" s="218">
        <v>2377.5324000000255</v>
      </c>
      <c r="U15" s="218">
        <v>2690.7404000000097</v>
      </c>
      <c r="V15" s="218">
        <v>2553.9519999999902</v>
      </c>
    </row>
    <row r="16" spans="2:22" ht="15" x14ac:dyDescent="0.2">
      <c r="B16" s="214">
        <f>B15+1</f>
        <v>7</v>
      </c>
      <c r="C16" s="215" t="s">
        <v>309</v>
      </c>
      <c r="D16" s="214" t="s">
        <v>304</v>
      </c>
      <c r="E16" s="225">
        <f>E14-E15</f>
        <v>336740.4412800002</v>
      </c>
      <c r="F16" s="225">
        <f t="shared" ref="F16:V16" si="1">F14-F15</f>
        <v>347137.61312000011</v>
      </c>
      <c r="G16" s="225">
        <f t="shared" si="1"/>
        <v>367727.27743999992</v>
      </c>
      <c r="H16" s="225">
        <f t="shared" si="1"/>
        <v>275936.97183999984</v>
      </c>
      <c r="I16" s="225">
        <f t="shared" si="1"/>
        <v>292785.29824000015</v>
      </c>
      <c r="J16" s="225">
        <f t="shared" si="1"/>
        <v>330846.90975999978</v>
      </c>
      <c r="K16" s="225">
        <f t="shared" si="1"/>
        <v>375589.80991999968</v>
      </c>
      <c r="L16" s="225">
        <f t="shared" si="1"/>
        <v>271850.88416000007</v>
      </c>
      <c r="M16" s="225">
        <f t="shared" si="1"/>
        <v>233581.22047999999</v>
      </c>
      <c r="N16" s="225">
        <f t="shared" si="1"/>
        <v>295630.10623999994</v>
      </c>
      <c r="O16" s="225">
        <f t="shared" si="1"/>
        <v>338960.43808000011</v>
      </c>
      <c r="P16" s="225">
        <f t="shared" si="1"/>
        <v>408494.79711999989</v>
      </c>
      <c r="Q16" s="225">
        <f t="shared" si="1"/>
        <v>329592.73407999962</v>
      </c>
      <c r="R16" s="225">
        <f t="shared" si="1"/>
        <v>350017.02207999985</v>
      </c>
      <c r="S16" s="225">
        <f t="shared" si="1"/>
        <v>331753.15136000019</v>
      </c>
      <c r="T16" s="225">
        <f t="shared" si="1"/>
        <v>294814.0175999999</v>
      </c>
      <c r="U16" s="225">
        <f t="shared" si="1"/>
        <v>333651.80960000027</v>
      </c>
      <c r="V16" s="225">
        <f t="shared" si="1"/>
        <v>316690.04799999978</v>
      </c>
    </row>
    <row r="17" spans="2:22" ht="15" x14ac:dyDescent="0.2">
      <c r="B17" s="210" t="s">
        <v>72</v>
      </c>
      <c r="C17" s="213" t="s">
        <v>310</v>
      </c>
      <c r="D17" s="214"/>
      <c r="E17" s="215"/>
      <c r="F17" s="215"/>
      <c r="G17" s="215"/>
      <c r="H17" s="215"/>
      <c r="I17" s="215"/>
      <c r="J17" s="215"/>
      <c r="K17" s="215"/>
      <c r="L17" s="215"/>
      <c r="M17" s="215"/>
      <c r="N17" s="215"/>
      <c r="O17" s="215"/>
      <c r="P17" s="215"/>
      <c r="Q17" s="215"/>
      <c r="R17" s="215"/>
      <c r="S17" s="215"/>
      <c r="T17" s="215"/>
      <c r="U17" s="215"/>
      <c r="V17" s="215"/>
    </row>
    <row r="18" spans="2:22" x14ac:dyDescent="0.2">
      <c r="B18" s="214">
        <f>B16+1</f>
        <v>8</v>
      </c>
      <c r="C18" s="215" t="s">
        <v>311</v>
      </c>
      <c r="D18" s="217" t="s">
        <v>433</v>
      </c>
      <c r="E18" s="220">
        <v>181.67042950199999</v>
      </c>
      <c r="F18" s="220">
        <v>192.959832436</v>
      </c>
      <c r="G18" s="220">
        <v>201.370179732</v>
      </c>
      <c r="H18" s="220">
        <v>153.53916424499999</v>
      </c>
      <c r="I18" s="220">
        <v>162.59355426600419</v>
      </c>
      <c r="J18" s="220">
        <v>179.96962036299999</v>
      </c>
      <c r="K18" s="220">
        <v>201.18034326699998</v>
      </c>
      <c r="L18" s="220">
        <v>154.72992564399999</v>
      </c>
      <c r="M18" s="220">
        <v>136.90167766100001</v>
      </c>
      <c r="N18" s="220">
        <v>171.659437053</v>
      </c>
      <c r="O18" s="220">
        <v>188.712142497</v>
      </c>
      <c r="P18" s="220">
        <v>226.29493937199999</v>
      </c>
      <c r="Q18" s="220">
        <v>165.76401784500013</v>
      </c>
      <c r="R18" s="220">
        <v>172.85473925600019</v>
      </c>
      <c r="S18" s="220">
        <v>167.39001572999993</v>
      </c>
      <c r="T18" s="220">
        <v>151.81441721599992</v>
      </c>
      <c r="U18" s="220">
        <v>163.38698705600004</v>
      </c>
      <c r="V18" s="220">
        <v>148.84032562700014</v>
      </c>
    </row>
    <row r="19" spans="2:22" x14ac:dyDescent="0.2">
      <c r="B19" s="214">
        <f>B18+1</f>
        <v>9</v>
      </c>
      <c r="C19" s="215" t="s">
        <v>312</v>
      </c>
      <c r="D19" s="217" t="s">
        <v>433</v>
      </c>
      <c r="E19" s="220">
        <v>0.37681737800000104</v>
      </c>
      <c r="F19" s="220">
        <v>-1.7181847877959997</v>
      </c>
      <c r="G19" s="220">
        <v>-1.0709908590000001</v>
      </c>
      <c r="H19" s="220">
        <v>-1.4173476940000005</v>
      </c>
      <c r="I19" s="220">
        <v>-0.82910575299999878</v>
      </c>
      <c r="J19" s="220">
        <v>-1.8754054629999992</v>
      </c>
      <c r="K19" s="220">
        <v>-9.4216008510000613</v>
      </c>
      <c r="L19" s="220">
        <v>-2.6391305930000057</v>
      </c>
      <c r="M19" s="220">
        <v>-1.6771659270000006</v>
      </c>
      <c r="N19" s="220">
        <v>-0.41933522200000078</v>
      </c>
      <c r="O19" s="220">
        <v>-1.8712688380000011</v>
      </c>
      <c r="P19" s="220">
        <v>-2.1939293560000261</v>
      </c>
      <c r="Q19" s="220">
        <v>-7.4910845470000114</v>
      </c>
      <c r="R19" s="220">
        <v>-5.7356386810000117</v>
      </c>
      <c r="S19" s="220">
        <v>-5.5597983079999977</v>
      </c>
      <c r="T19" s="220">
        <v>-1.8754372710000022</v>
      </c>
      <c r="U19" s="220">
        <v>-5.1896310999999938E-2</v>
      </c>
      <c r="V19" s="220">
        <v>-1.9437714800000001</v>
      </c>
    </row>
    <row r="20" spans="2:22" x14ac:dyDescent="0.2">
      <c r="B20" s="214">
        <f>B19+1</f>
        <v>10</v>
      </c>
      <c r="C20" s="215" t="s">
        <v>313</v>
      </c>
      <c r="D20" s="217" t="s">
        <v>433</v>
      </c>
      <c r="E20" s="220">
        <v>1.6637658696749047</v>
      </c>
      <c r="F20" s="220">
        <v>1.682885770763255</v>
      </c>
      <c r="G20" s="220">
        <v>1.7158326653399243</v>
      </c>
      <c r="H20" s="220">
        <v>1.513907221870886</v>
      </c>
      <c r="I20" s="220">
        <v>1.624072819</v>
      </c>
      <c r="J20" s="220">
        <v>1.6136152983940177</v>
      </c>
      <c r="K20" s="220">
        <v>1.8493260259429722</v>
      </c>
      <c r="L20" s="220">
        <v>1.597262334622537</v>
      </c>
      <c r="M20" s="220">
        <v>1.6831195306251303</v>
      </c>
      <c r="N20" s="220">
        <v>1.8015083372107159</v>
      </c>
      <c r="O20" s="220">
        <v>1.9745441836295758</v>
      </c>
      <c r="P20" s="220">
        <v>1.9393820326949871</v>
      </c>
      <c r="Q20" s="220">
        <v>1.6781847885622256</v>
      </c>
      <c r="R20" s="220">
        <v>1.6862480934545547</v>
      </c>
      <c r="S20" s="220">
        <v>1.7123036958126523</v>
      </c>
      <c r="T20" s="220">
        <v>1.6682329152704316</v>
      </c>
      <c r="U20" s="220">
        <v>1.6681047848335941</v>
      </c>
      <c r="V20" s="220">
        <v>1.6556388966737468</v>
      </c>
    </row>
    <row r="21" spans="2:22" ht="15" x14ac:dyDescent="0.2">
      <c r="B21" s="214">
        <f>B20+1</f>
        <v>11</v>
      </c>
      <c r="C21" s="215" t="s">
        <v>314</v>
      </c>
      <c r="D21" s="217" t="s">
        <v>433</v>
      </c>
      <c r="E21" s="226">
        <f>E18+E19+E20</f>
        <v>183.71101274967489</v>
      </c>
      <c r="F21" s="226">
        <f t="shared" ref="F21:V21" si="2">F18+F19+F20</f>
        <v>192.92453341896726</v>
      </c>
      <c r="G21" s="226">
        <f t="shared" si="2"/>
        <v>202.01502153833991</v>
      </c>
      <c r="H21" s="226">
        <f t="shared" si="2"/>
        <v>153.63572377287088</v>
      </c>
      <c r="I21" s="226">
        <f t="shared" si="2"/>
        <v>163.38852133200419</v>
      </c>
      <c r="J21" s="226">
        <f t="shared" si="2"/>
        <v>179.70783019839402</v>
      </c>
      <c r="K21" s="226">
        <f t="shared" si="2"/>
        <v>193.60806844194292</v>
      </c>
      <c r="L21" s="226">
        <f t="shared" si="2"/>
        <v>153.68805738562253</v>
      </c>
      <c r="M21" s="226">
        <f t="shared" si="2"/>
        <v>136.90763126462514</v>
      </c>
      <c r="N21" s="226">
        <f t="shared" si="2"/>
        <v>173.04161016821072</v>
      </c>
      <c r="O21" s="226">
        <f t="shared" si="2"/>
        <v>188.81541784262959</v>
      </c>
      <c r="P21" s="226">
        <f t="shared" si="2"/>
        <v>226.04039204869497</v>
      </c>
      <c r="Q21" s="226">
        <f t="shared" si="2"/>
        <v>159.95111808656233</v>
      </c>
      <c r="R21" s="226">
        <f t="shared" si="2"/>
        <v>168.80534866845474</v>
      </c>
      <c r="S21" s="226">
        <f t="shared" si="2"/>
        <v>163.54252111781258</v>
      </c>
      <c r="T21" s="226">
        <f t="shared" si="2"/>
        <v>151.60721286027035</v>
      </c>
      <c r="U21" s="226">
        <f t="shared" si="2"/>
        <v>165.00319552983362</v>
      </c>
      <c r="V21" s="226">
        <f t="shared" si="2"/>
        <v>148.55219304367387</v>
      </c>
    </row>
    <row r="22" spans="2:22" ht="15" x14ac:dyDescent="0.2">
      <c r="B22" s="210" t="s">
        <v>315</v>
      </c>
      <c r="C22" s="213" t="s">
        <v>316</v>
      </c>
      <c r="D22" s="214"/>
      <c r="E22" s="215"/>
      <c r="F22" s="215"/>
      <c r="G22" s="215"/>
      <c r="H22" s="215"/>
      <c r="I22" s="215"/>
      <c r="J22" s="215"/>
      <c r="K22" s="215"/>
      <c r="L22" s="215"/>
      <c r="M22" s="215"/>
      <c r="N22" s="215"/>
      <c r="O22" s="215"/>
      <c r="P22" s="215"/>
      <c r="Q22" s="215"/>
      <c r="R22" s="215"/>
      <c r="S22" s="215"/>
      <c r="T22" s="215"/>
      <c r="U22" s="215"/>
      <c r="V22" s="215"/>
    </row>
    <row r="23" spans="2:22" x14ac:dyDescent="0.2">
      <c r="B23" s="214">
        <f>B21+1</f>
        <v>12</v>
      </c>
      <c r="C23" s="215" t="s">
        <v>317</v>
      </c>
      <c r="D23" s="214"/>
      <c r="E23" s="215"/>
      <c r="F23" s="215"/>
      <c r="G23" s="215"/>
      <c r="H23" s="215"/>
      <c r="I23" s="215"/>
      <c r="J23" s="215"/>
      <c r="K23" s="215"/>
      <c r="L23" s="215"/>
      <c r="M23" s="215"/>
      <c r="N23" s="215"/>
      <c r="O23" s="215"/>
      <c r="P23" s="215"/>
      <c r="Q23" s="215"/>
      <c r="R23" s="215"/>
      <c r="S23" s="215"/>
      <c r="T23" s="215"/>
      <c r="U23" s="215"/>
      <c r="V23" s="215"/>
    </row>
    <row r="24" spans="2:22" x14ac:dyDescent="0.2">
      <c r="B24" s="214"/>
      <c r="C24" s="215" t="s">
        <v>318</v>
      </c>
      <c r="D24" s="217" t="s">
        <v>433</v>
      </c>
      <c r="E24" s="220"/>
      <c r="F24" s="220"/>
      <c r="G24" s="220"/>
      <c r="H24" s="220"/>
      <c r="I24" s="220"/>
      <c r="J24" s="220"/>
      <c r="K24" s="220"/>
      <c r="L24" s="220"/>
      <c r="M24" s="220"/>
      <c r="N24" s="220"/>
      <c r="O24" s="220"/>
      <c r="P24" s="220"/>
      <c r="Q24" s="220"/>
      <c r="R24" s="220"/>
      <c r="S24" s="220"/>
      <c r="T24" s="220"/>
      <c r="U24" s="220"/>
      <c r="V24" s="220"/>
    </row>
    <row r="25" spans="2:22" x14ac:dyDescent="0.2">
      <c r="B25" s="214"/>
      <c r="C25" s="215" t="s">
        <v>319</v>
      </c>
      <c r="D25" s="217" t="s">
        <v>433</v>
      </c>
      <c r="E25" s="227">
        <v>7.3897132013720004</v>
      </c>
      <c r="F25" s="227">
        <v>7.2451168670279964</v>
      </c>
      <c r="G25" s="227">
        <v>7.9814254043644945</v>
      </c>
      <c r="H25" s="227">
        <v>5.7806555599719935</v>
      </c>
      <c r="I25" s="227">
        <v>6.7866244706610024</v>
      </c>
      <c r="J25" s="227">
        <v>7.0499516864189982</v>
      </c>
      <c r="K25" s="227">
        <v>7.6918225115629957</v>
      </c>
      <c r="L25" s="227">
        <v>6.3889981986080011</v>
      </c>
      <c r="M25" s="227">
        <v>5.8905449639330003</v>
      </c>
      <c r="N25" s="227">
        <v>7.345833980017999</v>
      </c>
      <c r="O25" s="227">
        <v>7.7690752114480031</v>
      </c>
      <c r="P25" s="227">
        <v>8.9130802311600004</v>
      </c>
      <c r="Q25" s="227">
        <v>7.2350644377100002</v>
      </c>
      <c r="R25" s="227">
        <v>7.3836757357889962</v>
      </c>
      <c r="S25" s="227">
        <v>7.2513245721530017</v>
      </c>
      <c r="T25" s="227">
        <v>6.3907696760329973</v>
      </c>
      <c r="U25" s="227">
        <v>6.8315255727519961</v>
      </c>
      <c r="V25" s="227">
        <v>6.6003505156855011</v>
      </c>
    </row>
    <row r="26" spans="2:22" x14ac:dyDescent="0.2">
      <c r="B26" s="214"/>
      <c r="C26" s="215" t="s">
        <v>320</v>
      </c>
      <c r="D26" s="217" t="s">
        <v>433</v>
      </c>
      <c r="E26" s="215"/>
      <c r="F26" s="215"/>
      <c r="G26" s="215"/>
      <c r="H26" s="215"/>
      <c r="I26" s="215"/>
      <c r="J26" s="215"/>
      <c r="K26" s="215"/>
      <c r="L26" s="215"/>
      <c r="M26" s="215"/>
      <c r="N26" s="215"/>
      <c r="O26" s="215"/>
      <c r="P26" s="215"/>
      <c r="Q26" s="215"/>
      <c r="R26" s="215"/>
      <c r="S26" s="215"/>
      <c r="T26" s="215"/>
      <c r="U26" s="215"/>
      <c r="V26" s="215"/>
    </row>
    <row r="27" spans="2:22" x14ac:dyDescent="0.2">
      <c r="B27" s="214"/>
      <c r="C27" s="215" t="s">
        <v>9</v>
      </c>
      <c r="D27" s="217" t="s">
        <v>433</v>
      </c>
      <c r="E27" s="215"/>
      <c r="F27" s="215"/>
      <c r="G27" s="215"/>
      <c r="H27" s="215"/>
      <c r="I27" s="215"/>
      <c r="J27" s="215"/>
      <c r="K27" s="215"/>
      <c r="L27" s="215"/>
      <c r="M27" s="215"/>
      <c r="N27" s="215"/>
      <c r="O27" s="215"/>
      <c r="P27" s="215"/>
      <c r="Q27" s="215"/>
      <c r="R27" s="215"/>
      <c r="S27" s="215"/>
      <c r="T27" s="215"/>
      <c r="U27" s="215"/>
      <c r="V27" s="215"/>
    </row>
    <row r="28" spans="2:22" x14ac:dyDescent="0.2">
      <c r="B28" s="214">
        <f>B23+1</f>
        <v>13</v>
      </c>
      <c r="C28" s="215" t="s">
        <v>321</v>
      </c>
      <c r="D28" s="217" t="s">
        <v>433</v>
      </c>
      <c r="E28" s="215"/>
      <c r="F28" s="215"/>
      <c r="G28" s="215"/>
      <c r="H28" s="215"/>
      <c r="I28" s="215"/>
      <c r="J28" s="215"/>
      <c r="K28" s="215"/>
      <c r="L28" s="215"/>
      <c r="M28" s="215"/>
      <c r="N28" s="215"/>
      <c r="O28" s="215"/>
      <c r="P28" s="215"/>
      <c r="Q28" s="215"/>
      <c r="R28" s="215"/>
      <c r="S28" s="215"/>
      <c r="T28" s="215"/>
      <c r="U28" s="215"/>
      <c r="V28" s="215"/>
    </row>
    <row r="29" spans="2:22" x14ac:dyDescent="0.2">
      <c r="B29" s="214">
        <f>B28+1</f>
        <v>14</v>
      </c>
      <c r="C29" s="215" t="s">
        <v>322</v>
      </c>
      <c r="D29" s="217" t="s">
        <v>433</v>
      </c>
      <c r="E29" s="215"/>
      <c r="F29" s="215"/>
      <c r="G29" s="215"/>
      <c r="H29" s="215"/>
      <c r="I29" s="215"/>
      <c r="J29" s="215"/>
      <c r="K29" s="215"/>
      <c r="L29" s="215"/>
      <c r="M29" s="215"/>
      <c r="N29" s="215"/>
      <c r="O29" s="215"/>
      <c r="P29" s="215"/>
      <c r="Q29" s="215"/>
      <c r="R29" s="215"/>
      <c r="S29" s="215"/>
      <c r="T29" s="215"/>
      <c r="U29" s="215"/>
      <c r="V29" s="215"/>
    </row>
    <row r="30" spans="2:22" ht="28.5" x14ac:dyDescent="0.2">
      <c r="B30" s="214">
        <f>B29+1</f>
        <v>15</v>
      </c>
      <c r="C30" s="228" t="s">
        <v>392</v>
      </c>
      <c r="D30" s="217" t="s">
        <v>433</v>
      </c>
      <c r="E30" s="215"/>
      <c r="F30" s="215"/>
      <c r="G30" s="215"/>
      <c r="H30" s="215"/>
      <c r="I30" s="215"/>
      <c r="J30" s="215"/>
      <c r="K30" s="215"/>
      <c r="L30" s="215"/>
      <c r="M30" s="215"/>
      <c r="N30" s="215"/>
      <c r="O30" s="215"/>
      <c r="P30" s="215"/>
      <c r="Q30" s="215"/>
      <c r="R30" s="215"/>
      <c r="S30" s="215"/>
      <c r="T30" s="215"/>
      <c r="U30" s="215"/>
      <c r="V30" s="215"/>
    </row>
    <row r="31" spans="2:22" x14ac:dyDescent="0.2">
      <c r="B31" s="214">
        <f>B30+1</f>
        <v>16</v>
      </c>
      <c r="C31" s="228" t="s">
        <v>323</v>
      </c>
      <c r="D31" s="217" t="s">
        <v>433</v>
      </c>
      <c r="E31" s="220">
        <f>SUM(E25:E30)</f>
        <v>7.3897132013720004</v>
      </c>
      <c r="F31" s="220">
        <f t="shared" ref="F31:V31" si="3">SUM(F25:F30)</f>
        <v>7.2451168670279964</v>
      </c>
      <c r="G31" s="220">
        <f t="shared" si="3"/>
        <v>7.9814254043644945</v>
      </c>
      <c r="H31" s="220">
        <f t="shared" si="3"/>
        <v>5.7806555599719935</v>
      </c>
      <c r="I31" s="220">
        <f t="shared" si="3"/>
        <v>6.7866244706610024</v>
      </c>
      <c r="J31" s="220">
        <f t="shared" si="3"/>
        <v>7.0499516864189982</v>
      </c>
      <c r="K31" s="220">
        <f t="shared" si="3"/>
        <v>7.6918225115629957</v>
      </c>
      <c r="L31" s="220">
        <f t="shared" si="3"/>
        <v>6.3889981986080011</v>
      </c>
      <c r="M31" s="220">
        <f t="shared" si="3"/>
        <v>5.8905449639330003</v>
      </c>
      <c r="N31" s="220">
        <f t="shared" si="3"/>
        <v>7.345833980017999</v>
      </c>
      <c r="O31" s="220">
        <f t="shared" si="3"/>
        <v>7.7690752114480031</v>
      </c>
      <c r="P31" s="220">
        <f t="shared" si="3"/>
        <v>8.9130802311600004</v>
      </c>
      <c r="Q31" s="220">
        <f t="shared" si="3"/>
        <v>7.2350644377100002</v>
      </c>
      <c r="R31" s="220">
        <f t="shared" si="3"/>
        <v>7.3836757357889962</v>
      </c>
      <c r="S31" s="220">
        <f t="shared" si="3"/>
        <v>7.2513245721530017</v>
      </c>
      <c r="T31" s="220">
        <f t="shared" si="3"/>
        <v>6.3907696760329973</v>
      </c>
      <c r="U31" s="220">
        <f t="shared" si="3"/>
        <v>6.8315255727519961</v>
      </c>
      <c r="V31" s="220">
        <f t="shared" si="3"/>
        <v>6.6003505156855011</v>
      </c>
    </row>
    <row r="32" spans="2:22" ht="28.5" x14ac:dyDescent="0.2">
      <c r="B32" s="214">
        <f>B31+1</f>
        <v>17</v>
      </c>
      <c r="C32" s="228" t="s">
        <v>324</v>
      </c>
      <c r="D32" s="217" t="s">
        <v>433</v>
      </c>
      <c r="E32" s="226">
        <f>E21+E31</f>
        <v>191.10072595104688</v>
      </c>
      <c r="F32" s="226">
        <f t="shared" ref="F32:V32" si="4">F21+F31</f>
        <v>200.16965028599526</v>
      </c>
      <c r="G32" s="226">
        <f t="shared" si="4"/>
        <v>209.99644694270441</v>
      </c>
      <c r="H32" s="226">
        <f t="shared" si="4"/>
        <v>159.41637933284287</v>
      </c>
      <c r="I32" s="226">
        <f t="shared" si="4"/>
        <v>170.17514580266518</v>
      </c>
      <c r="J32" s="226">
        <f t="shared" si="4"/>
        <v>186.75778188481303</v>
      </c>
      <c r="K32" s="226">
        <f t="shared" si="4"/>
        <v>201.29989095350592</v>
      </c>
      <c r="L32" s="226">
        <f t="shared" si="4"/>
        <v>160.07705558423052</v>
      </c>
      <c r="M32" s="226">
        <f t="shared" si="4"/>
        <v>142.79817622855813</v>
      </c>
      <c r="N32" s="226">
        <f t="shared" si="4"/>
        <v>180.38744414822872</v>
      </c>
      <c r="O32" s="226">
        <f t="shared" si="4"/>
        <v>196.5844930540776</v>
      </c>
      <c r="P32" s="226">
        <f t="shared" si="4"/>
        <v>234.95347227985496</v>
      </c>
      <c r="Q32" s="226">
        <f t="shared" si="4"/>
        <v>167.18618252427234</v>
      </c>
      <c r="R32" s="226">
        <f t="shared" si="4"/>
        <v>176.18902440424372</v>
      </c>
      <c r="S32" s="226">
        <f t="shared" si="4"/>
        <v>170.79384568996559</v>
      </c>
      <c r="T32" s="226">
        <f t="shared" si="4"/>
        <v>157.99798253630334</v>
      </c>
      <c r="U32" s="226">
        <f t="shared" si="4"/>
        <v>171.8347211025856</v>
      </c>
      <c r="V32" s="226">
        <f t="shared" si="4"/>
        <v>155.15254355935937</v>
      </c>
    </row>
    <row r="33" spans="2:22" ht="15" x14ac:dyDescent="0.2">
      <c r="B33" s="210" t="s">
        <v>325</v>
      </c>
      <c r="C33" s="213" t="s">
        <v>189</v>
      </c>
      <c r="D33" s="214"/>
      <c r="E33" s="215"/>
      <c r="F33" s="215"/>
      <c r="G33" s="215"/>
      <c r="H33" s="215"/>
      <c r="I33" s="215"/>
      <c r="J33" s="215"/>
      <c r="K33" s="215"/>
      <c r="L33" s="215"/>
      <c r="M33" s="215"/>
      <c r="N33" s="215"/>
      <c r="O33" s="215"/>
      <c r="P33" s="215"/>
      <c r="Q33" s="215"/>
      <c r="R33" s="215"/>
      <c r="S33" s="215"/>
      <c r="T33" s="215"/>
      <c r="U33" s="215"/>
      <c r="V33" s="215"/>
    </row>
    <row r="34" spans="2:22" ht="15" x14ac:dyDescent="0.2">
      <c r="B34" s="214">
        <f>B32+1</f>
        <v>18</v>
      </c>
      <c r="C34" s="228" t="s">
        <v>326</v>
      </c>
      <c r="D34" s="214" t="s">
        <v>327</v>
      </c>
      <c r="E34" s="226">
        <f>IFERROR((E10+E32)/(E9+E16)*10000000,0)</f>
        <v>5518.5601671272143</v>
      </c>
      <c r="F34" s="226">
        <f t="shared" ref="F34:V34" si="5">IFERROR((F10+F32)/(F9+F16)*10000000,0)</f>
        <v>5645.5506693320485</v>
      </c>
      <c r="G34" s="226">
        <f t="shared" si="5"/>
        <v>5682.4375841023948</v>
      </c>
      <c r="H34" s="226">
        <f t="shared" si="5"/>
        <v>5731.8825157781494</v>
      </c>
      <c r="I34" s="226">
        <f t="shared" si="5"/>
        <v>5772.7798809224641</v>
      </c>
      <c r="J34" s="226">
        <f t="shared" si="5"/>
        <v>5705.6808456898552</v>
      </c>
      <c r="K34" s="226">
        <f t="shared" si="5"/>
        <v>5507.2613553910214</v>
      </c>
      <c r="L34" s="226">
        <f>IFERROR((L10+L32)/(L9+L16)*10000000,0)</f>
        <v>5685.7472618012462</v>
      </c>
      <c r="M34" s="226">
        <f t="shared" si="5"/>
        <v>5857.7165308433814</v>
      </c>
      <c r="N34" s="226">
        <f t="shared" si="5"/>
        <v>5958.3627095227366</v>
      </c>
      <c r="O34" s="226">
        <f>IFERROR((O10+O32)/(O9+O16)*10000000,0)</f>
        <v>5884.4874056405552</v>
      </c>
      <c r="P34" s="226">
        <f t="shared" si="5"/>
        <v>5811.8737783800652</v>
      </c>
      <c r="Q34" s="226">
        <f>IFERROR((Q10+Q32)/(Q9+Q16)*10000000,0)</f>
        <v>5449.2692147518273</v>
      </c>
      <c r="R34" s="226">
        <f t="shared" si="5"/>
        <v>5233.9133727464323</v>
      </c>
      <c r="S34" s="226">
        <f>IFERROR((S10+S32)/(S9+S16)*10000000,0)</f>
        <v>5191.6615521179565</v>
      </c>
      <c r="T34" s="226">
        <f t="shared" si="5"/>
        <v>5272.7178384985727</v>
      </c>
      <c r="U34" s="226">
        <f>IFERROR((U10+U32)/(U9+U16)*10000000,0)</f>
        <v>5200.8317767635572</v>
      </c>
      <c r="V34" s="226">
        <f t="shared" si="5"/>
        <v>5017.2549877153606</v>
      </c>
    </row>
    <row r="35" spans="2:22" x14ac:dyDescent="0.2">
      <c r="B35" s="214">
        <f>B34+1</f>
        <v>19</v>
      </c>
      <c r="C35" s="228" t="s">
        <v>328</v>
      </c>
      <c r="D35" s="214"/>
      <c r="E35" s="215"/>
      <c r="F35" s="215"/>
      <c r="G35" s="215"/>
      <c r="H35" s="215"/>
      <c r="I35" s="215"/>
      <c r="J35" s="215"/>
      <c r="K35" s="215"/>
      <c r="L35" s="215"/>
      <c r="M35" s="215"/>
      <c r="N35" s="215"/>
      <c r="O35" s="215"/>
      <c r="P35" s="215"/>
      <c r="Q35" s="215"/>
      <c r="R35" s="215"/>
      <c r="S35" s="215"/>
      <c r="T35" s="215"/>
      <c r="U35" s="215"/>
      <c r="V35" s="215"/>
    </row>
    <row r="36" spans="2:22" x14ac:dyDescent="0.2">
      <c r="B36" s="214">
        <f>B35+1</f>
        <v>20</v>
      </c>
      <c r="C36" s="228" t="s">
        <v>329</v>
      </c>
      <c r="D36" s="214" t="s">
        <v>327</v>
      </c>
      <c r="E36" s="227"/>
      <c r="F36" s="227"/>
      <c r="G36" s="227"/>
      <c r="H36" s="227"/>
      <c r="I36" s="227"/>
      <c r="J36" s="227"/>
      <c r="K36" s="227"/>
      <c r="L36" s="227"/>
      <c r="M36" s="227"/>
      <c r="N36" s="227"/>
      <c r="O36" s="227"/>
      <c r="P36" s="227"/>
      <c r="Q36" s="227"/>
      <c r="R36" s="227"/>
      <c r="S36" s="227"/>
      <c r="T36" s="227"/>
      <c r="U36" s="227"/>
      <c r="V36" s="227"/>
    </row>
    <row r="37" spans="2:22" ht="15" x14ac:dyDescent="0.2">
      <c r="B37" s="210" t="s">
        <v>330</v>
      </c>
      <c r="C37" s="213" t="s">
        <v>331</v>
      </c>
      <c r="D37" s="214"/>
      <c r="E37" s="215"/>
      <c r="F37" s="215"/>
      <c r="G37" s="215"/>
      <c r="H37" s="215"/>
      <c r="I37" s="215"/>
      <c r="J37" s="215"/>
      <c r="K37" s="215"/>
      <c r="L37" s="215"/>
      <c r="M37" s="215"/>
      <c r="N37" s="215"/>
      <c r="O37" s="215"/>
      <c r="P37" s="215"/>
      <c r="Q37" s="215"/>
      <c r="R37" s="215"/>
      <c r="S37" s="215"/>
      <c r="T37" s="215"/>
      <c r="U37" s="215"/>
      <c r="V37" s="215"/>
    </row>
    <row r="38" spans="2:22" ht="28.5" x14ac:dyDescent="0.2">
      <c r="B38" s="214">
        <f>B36+1</f>
        <v>21</v>
      </c>
      <c r="C38" s="228" t="s">
        <v>391</v>
      </c>
      <c r="D38" s="214" t="s">
        <v>332</v>
      </c>
      <c r="E38" s="215"/>
      <c r="F38" s="215"/>
      <c r="G38" s="215"/>
      <c r="H38" s="215"/>
      <c r="I38" s="215"/>
      <c r="J38" s="215"/>
      <c r="K38" s="215"/>
      <c r="L38" s="215"/>
      <c r="M38" s="215"/>
      <c r="N38" s="215"/>
      <c r="O38" s="215"/>
      <c r="P38" s="215"/>
      <c r="Q38" s="215"/>
      <c r="R38" s="215"/>
      <c r="S38" s="215"/>
      <c r="T38" s="215"/>
      <c r="U38" s="215"/>
      <c r="V38" s="215"/>
    </row>
    <row r="39" spans="2:22" ht="28.5" x14ac:dyDescent="0.2">
      <c r="B39" s="214">
        <f>B38+1</f>
        <v>22</v>
      </c>
      <c r="C39" s="228" t="s">
        <v>333</v>
      </c>
      <c r="D39" s="214" t="s">
        <v>332</v>
      </c>
      <c r="E39" s="215"/>
      <c r="F39" s="215"/>
      <c r="G39" s="215"/>
      <c r="H39" s="215"/>
      <c r="I39" s="215"/>
      <c r="J39" s="215"/>
      <c r="K39" s="215"/>
      <c r="L39" s="215"/>
      <c r="M39" s="215"/>
      <c r="N39" s="215"/>
      <c r="O39" s="215"/>
      <c r="P39" s="215"/>
      <c r="Q39" s="215"/>
      <c r="R39" s="215"/>
      <c r="S39" s="215"/>
      <c r="T39" s="215"/>
      <c r="U39" s="215"/>
      <c r="V39" s="215"/>
    </row>
    <row r="40" spans="2:22" ht="28.5" x14ac:dyDescent="0.2">
      <c r="B40" s="214">
        <f t="shared" ref="B40:B47" si="6">B39+1</f>
        <v>23</v>
      </c>
      <c r="C40" s="228" t="s">
        <v>390</v>
      </c>
      <c r="D40" s="214" t="s">
        <v>332</v>
      </c>
      <c r="E40" s="215"/>
      <c r="F40" s="215"/>
      <c r="G40" s="215"/>
      <c r="H40" s="215"/>
      <c r="I40" s="215"/>
      <c r="J40" s="215"/>
      <c r="K40" s="215"/>
      <c r="L40" s="215"/>
      <c r="M40" s="215"/>
      <c r="N40" s="215"/>
      <c r="O40" s="215"/>
      <c r="P40" s="215"/>
      <c r="Q40" s="215"/>
      <c r="R40" s="215"/>
      <c r="S40" s="215"/>
      <c r="T40" s="215"/>
      <c r="U40" s="215"/>
      <c r="V40" s="215"/>
    </row>
    <row r="41" spans="2:22" x14ac:dyDescent="0.2">
      <c r="B41" s="214">
        <f t="shared" si="6"/>
        <v>24</v>
      </c>
      <c r="C41" s="228" t="s">
        <v>334</v>
      </c>
      <c r="D41" s="214" t="s">
        <v>332</v>
      </c>
      <c r="E41" s="215"/>
      <c r="F41" s="215"/>
      <c r="G41" s="215"/>
      <c r="H41" s="215"/>
      <c r="I41" s="215"/>
      <c r="J41" s="215"/>
      <c r="K41" s="215"/>
      <c r="L41" s="215"/>
      <c r="M41" s="215"/>
      <c r="N41" s="215"/>
      <c r="O41" s="215"/>
      <c r="P41" s="215"/>
      <c r="Q41" s="215"/>
      <c r="R41" s="215"/>
      <c r="S41" s="215"/>
      <c r="T41" s="215"/>
      <c r="U41" s="215"/>
      <c r="V41" s="215"/>
    </row>
    <row r="42" spans="2:22" x14ac:dyDescent="0.2">
      <c r="B42" s="214">
        <f t="shared" si="6"/>
        <v>25</v>
      </c>
      <c r="C42" s="228" t="s">
        <v>335</v>
      </c>
      <c r="D42" s="214" t="s">
        <v>332</v>
      </c>
      <c r="E42" s="219">
        <v>4575.09</v>
      </c>
      <c r="F42" s="219">
        <v>4551.2700000000004</v>
      </c>
      <c r="G42" s="219">
        <v>4582.7</v>
      </c>
      <c r="H42" s="219">
        <v>4515.76</v>
      </c>
      <c r="I42" s="219">
        <v>4585.46</v>
      </c>
      <c r="J42" s="219">
        <v>4518.12</v>
      </c>
      <c r="K42" s="219">
        <v>4266.5200000000004</v>
      </c>
      <c r="L42" s="219">
        <v>4470.07</v>
      </c>
      <c r="M42" s="219">
        <v>4594.1400000000003</v>
      </c>
      <c r="N42" s="219">
        <v>4639.79</v>
      </c>
      <c r="O42" s="219">
        <v>4577.3500000000004</v>
      </c>
      <c r="P42" s="219">
        <v>4615.4799999999996</v>
      </c>
      <c r="Q42" s="219">
        <v>4444.5</v>
      </c>
      <c r="R42" s="219">
        <v>4439.42</v>
      </c>
      <c r="S42" s="219">
        <v>4588.37</v>
      </c>
      <c r="T42" s="219">
        <v>4672</v>
      </c>
      <c r="U42" s="219">
        <v>4507</v>
      </c>
      <c r="V42" s="219">
        <v>4546</v>
      </c>
    </row>
    <row r="43" spans="2:22" ht="28.5" x14ac:dyDescent="0.2">
      <c r="B43" s="214">
        <f t="shared" si="6"/>
        <v>26</v>
      </c>
      <c r="C43" s="228" t="s">
        <v>389</v>
      </c>
      <c r="D43" s="214" t="s">
        <v>332</v>
      </c>
      <c r="E43" s="229">
        <v>4019</v>
      </c>
      <c r="F43" s="229">
        <v>4062.4619663231638</v>
      </c>
      <c r="G43" s="229">
        <v>3942.7461381656449</v>
      </c>
      <c r="H43" s="229">
        <v>3889.9826278452874</v>
      </c>
      <c r="I43" s="229">
        <v>3861.7170561355133</v>
      </c>
      <c r="J43" s="229">
        <v>3907.8144301348239</v>
      </c>
      <c r="K43" s="229">
        <v>3935.2898358146808</v>
      </c>
      <c r="L43" s="229">
        <v>3827.504576779394</v>
      </c>
      <c r="M43" s="229">
        <v>3928.3852237559186</v>
      </c>
      <c r="N43" s="229">
        <v>4048.5747900679016</v>
      </c>
      <c r="O43" s="229">
        <v>4093.9168814692557</v>
      </c>
      <c r="P43" s="229">
        <v>4034.1153767238893</v>
      </c>
      <c r="Q43" s="229"/>
      <c r="R43" s="229"/>
      <c r="S43" s="229"/>
      <c r="T43" s="229"/>
      <c r="U43" s="229"/>
      <c r="V43" s="229"/>
    </row>
    <row r="44" spans="2:22" x14ac:dyDescent="0.2">
      <c r="B44" s="214">
        <f t="shared" si="6"/>
        <v>27</v>
      </c>
      <c r="C44" s="228" t="s">
        <v>336</v>
      </c>
      <c r="D44" s="214" t="s">
        <v>332</v>
      </c>
      <c r="E44" s="229">
        <v>4110</v>
      </c>
      <c r="F44" s="229">
        <v>3830</v>
      </c>
      <c r="G44" s="229">
        <v>3850</v>
      </c>
      <c r="H44" s="229">
        <v>3836</v>
      </c>
      <c r="I44" s="229">
        <v>3952</v>
      </c>
      <c r="J44" s="229">
        <v>3960</v>
      </c>
      <c r="K44" s="229">
        <v>3748</v>
      </c>
      <c r="L44" s="229">
        <v>4042</v>
      </c>
      <c r="M44" s="229">
        <v>4226</v>
      </c>
      <c r="N44" s="229">
        <v>4158</v>
      </c>
      <c r="O44" s="229">
        <v>3966</v>
      </c>
      <c r="P44" s="229">
        <v>3979</v>
      </c>
      <c r="Q44" s="229"/>
      <c r="R44" s="229"/>
      <c r="S44" s="229"/>
      <c r="T44" s="229"/>
      <c r="U44" s="229"/>
      <c r="V44" s="229"/>
    </row>
    <row r="45" spans="2:22" ht="28.5" x14ac:dyDescent="0.2">
      <c r="B45" s="214">
        <f t="shared" si="6"/>
        <v>28</v>
      </c>
      <c r="C45" s="228" t="s">
        <v>337</v>
      </c>
      <c r="D45" s="214" t="s">
        <v>332</v>
      </c>
      <c r="E45" s="229"/>
      <c r="F45" s="229"/>
      <c r="G45" s="229"/>
      <c r="H45" s="229"/>
      <c r="I45" s="229"/>
      <c r="J45" s="229"/>
      <c r="K45" s="229"/>
      <c r="L45" s="229"/>
      <c r="M45" s="229"/>
      <c r="N45" s="229"/>
      <c r="O45" s="229"/>
      <c r="P45" s="229"/>
      <c r="Q45" s="229"/>
      <c r="R45" s="229"/>
      <c r="S45" s="229"/>
      <c r="T45" s="229"/>
      <c r="U45" s="229"/>
      <c r="V45" s="229"/>
    </row>
    <row r="46" spans="2:22" ht="28.5" x14ac:dyDescent="0.2">
      <c r="B46" s="214">
        <f t="shared" si="6"/>
        <v>29</v>
      </c>
      <c r="C46" s="228" t="s">
        <v>337</v>
      </c>
      <c r="D46" s="214" t="s">
        <v>332</v>
      </c>
      <c r="E46" s="229"/>
      <c r="F46" s="229"/>
      <c r="G46" s="229"/>
      <c r="H46" s="229"/>
      <c r="I46" s="229"/>
      <c r="J46" s="229"/>
      <c r="K46" s="229"/>
      <c r="L46" s="229"/>
      <c r="M46" s="229"/>
      <c r="N46" s="229"/>
      <c r="O46" s="229"/>
      <c r="P46" s="229"/>
      <c r="Q46" s="229"/>
      <c r="R46" s="229"/>
      <c r="S46" s="229"/>
      <c r="T46" s="229"/>
      <c r="U46" s="229"/>
      <c r="V46" s="229"/>
    </row>
    <row r="47" spans="2:22" x14ac:dyDescent="0.2">
      <c r="B47" s="214">
        <f t="shared" si="6"/>
        <v>30</v>
      </c>
      <c r="C47" s="228" t="s">
        <v>338</v>
      </c>
      <c r="D47" s="214" t="s">
        <v>332</v>
      </c>
      <c r="E47" s="219">
        <v>4062.4619663231638</v>
      </c>
      <c r="F47" s="219">
        <v>3942.7461381656449</v>
      </c>
      <c r="G47" s="219">
        <v>3889.9826278452874</v>
      </c>
      <c r="H47" s="219">
        <v>3861.7170561355133</v>
      </c>
      <c r="I47" s="219">
        <v>3907.8144301348239</v>
      </c>
      <c r="J47" s="219">
        <v>3935.2898358146808</v>
      </c>
      <c r="K47" s="219">
        <v>3827.504576779394</v>
      </c>
      <c r="L47" s="219">
        <v>3928.3852237559186</v>
      </c>
      <c r="M47" s="219">
        <v>4048.5747900679016</v>
      </c>
      <c r="N47" s="219">
        <v>4093.9168814692557</v>
      </c>
      <c r="O47" s="219">
        <v>4034.1153767238893</v>
      </c>
      <c r="P47" s="219">
        <v>4003.8585748818764</v>
      </c>
      <c r="Q47" s="219">
        <v>3905</v>
      </c>
      <c r="R47" s="219">
        <v>3799</v>
      </c>
      <c r="S47" s="219">
        <v>4543.75</v>
      </c>
      <c r="T47" s="219">
        <v>4403</v>
      </c>
      <c r="U47" s="219">
        <v>3995</v>
      </c>
      <c r="V47" s="219">
        <v>4185</v>
      </c>
    </row>
    <row r="49" spans="2:3" ht="15" x14ac:dyDescent="0.2">
      <c r="B49" s="222" t="s">
        <v>242</v>
      </c>
    </row>
    <row r="50" spans="2:3" x14ac:dyDescent="0.2">
      <c r="B50" s="224">
        <v>1</v>
      </c>
      <c r="C50" s="88" t="s">
        <v>339</v>
      </c>
    </row>
    <row r="51" spans="2:3" x14ac:dyDescent="0.2">
      <c r="B51" s="224">
        <f>B50+1</f>
        <v>2</v>
      </c>
      <c r="C51" s="88" t="s">
        <v>340</v>
      </c>
    </row>
    <row r="52" spans="2:3" x14ac:dyDescent="0.2">
      <c r="B52" s="224">
        <f>B51+1</f>
        <v>3</v>
      </c>
      <c r="C52" s="88" t="s">
        <v>341</v>
      </c>
    </row>
    <row r="53" spans="2:3" x14ac:dyDescent="0.2">
      <c r="B53" s="224">
        <f>B52+1</f>
        <v>4</v>
      </c>
      <c r="C53" s="88" t="s">
        <v>342</v>
      </c>
    </row>
  </sheetData>
  <mergeCells count="5">
    <mergeCell ref="E6:P6"/>
    <mergeCell ref="Q6:V6"/>
    <mergeCell ref="B6:B7"/>
    <mergeCell ref="C6:C7"/>
    <mergeCell ref="D6:D7"/>
  </mergeCells>
  <phoneticPr fontId="14" type="noConversion"/>
  <pageMargins left="0.2" right="0.2" top="0.25" bottom="0.25" header="0.3" footer="0.3"/>
  <pageSetup paperSize="9" scale="45"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N53"/>
  <sheetViews>
    <sheetView view="pageBreakPreview" zoomScale="79" zoomScaleSheetLayoutView="79" workbookViewId="0">
      <selection sqref="A1:XFD1048576"/>
    </sheetView>
  </sheetViews>
  <sheetFormatPr defaultRowHeight="12.75" x14ac:dyDescent="0.2"/>
  <cols>
    <col min="2" max="2" width="8.85546875" customWidth="1"/>
    <col min="3" max="3" width="65.28515625" customWidth="1"/>
    <col min="9" max="9" width="10.5703125" bestFit="1" customWidth="1"/>
    <col min="11" max="11" width="10.5703125" bestFit="1" customWidth="1"/>
    <col min="13" max="13" width="10.5703125" bestFit="1" customWidth="1"/>
    <col min="15" max="15" width="10.5703125" bestFit="1" customWidth="1"/>
    <col min="17" max="17" width="10.5703125" bestFit="1" customWidth="1"/>
    <col min="19" max="19" width="10.5703125" bestFit="1" customWidth="1"/>
    <col min="21" max="21" width="10.5703125" bestFit="1" customWidth="1"/>
    <col min="23" max="23" width="10.5703125" bestFit="1" customWidth="1"/>
    <col min="25" max="25" width="10.5703125" bestFit="1" customWidth="1"/>
    <col min="27" max="27" width="10.5703125" bestFit="1" customWidth="1"/>
    <col min="29" max="29" width="10.5703125" bestFit="1" customWidth="1"/>
    <col min="31" max="31" width="10.5703125" bestFit="1" customWidth="1"/>
    <col min="33" max="33" width="10.5703125" bestFit="1" customWidth="1"/>
    <col min="35" max="35" width="10.5703125" bestFit="1" customWidth="1"/>
    <col min="37" max="37" width="10.5703125" bestFit="1" customWidth="1"/>
    <col min="39" max="39" width="10.5703125" bestFit="1" customWidth="1"/>
  </cols>
  <sheetData>
    <row r="2" spans="2:40" ht="16.5" x14ac:dyDescent="0.2">
      <c r="B2" s="328" t="s">
        <v>430</v>
      </c>
      <c r="C2" s="328"/>
      <c r="D2" s="328"/>
      <c r="E2" s="328"/>
      <c r="F2" s="328"/>
      <c r="G2" s="328"/>
      <c r="H2" s="328"/>
      <c r="I2" s="328"/>
      <c r="J2" s="328"/>
      <c r="K2" s="328"/>
      <c r="L2" s="328"/>
      <c r="M2" s="328"/>
      <c r="N2" s="328"/>
      <c r="O2" s="328"/>
      <c r="P2" s="328"/>
      <c r="Q2" s="328"/>
      <c r="R2" s="328"/>
      <c r="S2" s="328"/>
      <c r="T2" s="328"/>
      <c r="U2" s="328"/>
      <c r="V2" s="328"/>
    </row>
    <row r="3" spans="2:40" ht="15" x14ac:dyDescent="0.2">
      <c r="B3" s="289" t="s">
        <v>478</v>
      </c>
      <c r="C3" s="289"/>
      <c r="D3" s="289"/>
      <c r="E3" s="289"/>
      <c r="F3" s="289"/>
      <c r="G3" s="289"/>
      <c r="H3" s="289"/>
      <c r="I3" s="289"/>
      <c r="J3" s="289"/>
      <c r="K3" s="289"/>
      <c r="L3" s="289"/>
      <c r="M3" s="289"/>
      <c r="N3" s="289"/>
      <c r="O3" s="289"/>
      <c r="P3" s="289"/>
      <c r="Q3" s="289"/>
      <c r="R3" s="289"/>
      <c r="S3" s="289"/>
      <c r="T3" s="289"/>
      <c r="U3" s="289"/>
      <c r="V3" s="289"/>
    </row>
    <row r="4" spans="2:40" ht="16.5" x14ac:dyDescent="0.2">
      <c r="B4" s="329" t="s">
        <v>479</v>
      </c>
      <c r="C4" s="329"/>
      <c r="D4" s="329"/>
      <c r="E4" s="329"/>
      <c r="F4" s="329"/>
      <c r="G4" s="329"/>
      <c r="H4" s="329"/>
      <c r="I4" s="329"/>
      <c r="J4" s="329"/>
      <c r="K4" s="329"/>
      <c r="L4" s="329"/>
      <c r="M4" s="329"/>
      <c r="N4" s="329"/>
      <c r="O4" s="329"/>
      <c r="P4" s="329"/>
      <c r="Q4" s="329"/>
      <c r="R4" s="329"/>
      <c r="S4" s="329"/>
      <c r="T4" s="329"/>
      <c r="U4" s="329"/>
      <c r="V4" s="329"/>
    </row>
    <row r="6" spans="2:40" ht="15" x14ac:dyDescent="0.2">
      <c r="B6" s="321" t="s">
        <v>193</v>
      </c>
      <c r="C6" s="321" t="s">
        <v>18</v>
      </c>
      <c r="D6" s="321" t="s">
        <v>39</v>
      </c>
      <c r="E6" s="326">
        <v>45383</v>
      </c>
      <c r="F6" s="327"/>
      <c r="G6" s="326">
        <v>45413</v>
      </c>
      <c r="H6" s="327"/>
      <c r="I6" s="326">
        <v>45444</v>
      </c>
      <c r="J6" s="327"/>
      <c r="K6" s="326">
        <v>45474</v>
      </c>
      <c r="L6" s="327"/>
      <c r="M6" s="326">
        <v>45505</v>
      </c>
      <c r="N6" s="327"/>
      <c r="O6" s="326">
        <v>45536</v>
      </c>
      <c r="P6" s="327"/>
      <c r="Q6" s="326">
        <v>45566</v>
      </c>
      <c r="R6" s="327"/>
      <c r="S6" s="326">
        <v>45597</v>
      </c>
      <c r="T6" s="327"/>
      <c r="U6" s="326">
        <v>45627</v>
      </c>
      <c r="V6" s="327"/>
      <c r="W6" s="326">
        <v>45658</v>
      </c>
      <c r="X6" s="327"/>
      <c r="Y6" s="326">
        <v>45689</v>
      </c>
      <c r="Z6" s="327"/>
      <c r="AA6" s="326">
        <v>45717</v>
      </c>
      <c r="AB6" s="327"/>
      <c r="AC6" s="326">
        <v>45748</v>
      </c>
      <c r="AD6" s="327"/>
      <c r="AE6" s="326">
        <v>45778</v>
      </c>
      <c r="AF6" s="327"/>
      <c r="AG6" s="326">
        <v>45809</v>
      </c>
      <c r="AH6" s="327"/>
      <c r="AI6" s="326">
        <v>45839</v>
      </c>
      <c r="AJ6" s="327"/>
      <c r="AK6" s="326">
        <v>45870</v>
      </c>
      <c r="AL6" s="327"/>
      <c r="AM6" s="326">
        <v>45901</v>
      </c>
      <c r="AN6" s="327"/>
    </row>
    <row r="7" spans="2:40" ht="15" x14ac:dyDescent="0.2">
      <c r="B7" s="321"/>
      <c r="C7" s="321"/>
      <c r="D7" s="321"/>
      <c r="E7" s="210" t="s">
        <v>480</v>
      </c>
      <c r="F7" s="210" t="s">
        <v>481</v>
      </c>
      <c r="G7" s="210" t="s">
        <v>480</v>
      </c>
      <c r="H7" s="210" t="s">
        <v>481</v>
      </c>
      <c r="I7" s="210" t="s">
        <v>480</v>
      </c>
      <c r="J7" s="210" t="s">
        <v>481</v>
      </c>
      <c r="K7" s="210" t="s">
        <v>480</v>
      </c>
      <c r="L7" s="210" t="s">
        <v>481</v>
      </c>
      <c r="M7" s="210" t="s">
        <v>480</v>
      </c>
      <c r="N7" s="210" t="s">
        <v>481</v>
      </c>
      <c r="O7" s="210" t="s">
        <v>480</v>
      </c>
      <c r="P7" s="210" t="s">
        <v>481</v>
      </c>
      <c r="Q7" s="210" t="s">
        <v>480</v>
      </c>
      <c r="R7" s="210" t="s">
        <v>481</v>
      </c>
      <c r="S7" s="210" t="s">
        <v>480</v>
      </c>
      <c r="T7" s="210" t="s">
        <v>481</v>
      </c>
      <c r="U7" s="210" t="s">
        <v>480</v>
      </c>
      <c r="V7" s="210" t="s">
        <v>481</v>
      </c>
      <c r="W7" s="211" t="s">
        <v>480</v>
      </c>
      <c r="X7" s="211" t="s">
        <v>481</v>
      </c>
      <c r="Y7" s="211" t="s">
        <v>480</v>
      </c>
      <c r="Z7" s="211" t="s">
        <v>481</v>
      </c>
      <c r="AA7" s="211" t="s">
        <v>480</v>
      </c>
      <c r="AB7" s="211" t="s">
        <v>481</v>
      </c>
      <c r="AC7" s="212" t="s">
        <v>480</v>
      </c>
      <c r="AD7" s="212" t="s">
        <v>481</v>
      </c>
      <c r="AE7" s="212" t="s">
        <v>480</v>
      </c>
      <c r="AF7" s="212" t="s">
        <v>481</v>
      </c>
      <c r="AG7" s="212" t="s">
        <v>480</v>
      </c>
      <c r="AH7" s="212" t="s">
        <v>481</v>
      </c>
      <c r="AI7" s="212" t="s">
        <v>480</v>
      </c>
      <c r="AJ7" s="212" t="s">
        <v>481</v>
      </c>
      <c r="AK7" s="212" t="s">
        <v>480</v>
      </c>
      <c r="AL7" s="212" t="s">
        <v>481</v>
      </c>
      <c r="AM7" s="212" t="s">
        <v>480</v>
      </c>
      <c r="AN7" s="212" t="s">
        <v>481</v>
      </c>
    </row>
    <row r="8" spans="2:40" ht="15" x14ac:dyDescent="0.2">
      <c r="B8" s="210" t="s">
        <v>67</v>
      </c>
      <c r="C8" s="213" t="s">
        <v>301</v>
      </c>
      <c r="D8" s="214"/>
      <c r="E8" s="215"/>
      <c r="F8" s="215"/>
      <c r="G8" s="215"/>
      <c r="H8" s="215"/>
      <c r="I8" s="215"/>
      <c r="J8" s="215"/>
      <c r="K8" s="215"/>
      <c r="L8" s="215"/>
      <c r="M8" s="215"/>
      <c r="N8" s="215"/>
      <c r="O8" s="215"/>
      <c r="P8" s="215"/>
      <c r="Q8" s="215"/>
      <c r="R8" s="215"/>
      <c r="S8" s="215"/>
      <c r="T8" s="215"/>
      <c r="U8" s="215"/>
      <c r="V8" s="215"/>
      <c r="W8" s="184"/>
      <c r="X8" s="184"/>
      <c r="Y8" s="184"/>
      <c r="Z8" s="184"/>
      <c r="AA8" s="184"/>
      <c r="AB8" s="184"/>
      <c r="AC8" s="216"/>
      <c r="AD8" s="216"/>
      <c r="AE8" s="216"/>
      <c r="AF8" s="216"/>
      <c r="AG8" s="216"/>
      <c r="AH8" s="216"/>
      <c r="AI8" s="216"/>
      <c r="AJ8" s="216"/>
      <c r="AK8" s="216"/>
      <c r="AL8" s="216"/>
      <c r="AM8" s="216"/>
      <c r="AN8" s="216"/>
    </row>
    <row r="9" spans="2:40" ht="14.25" x14ac:dyDescent="0.2">
      <c r="B9" s="214">
        <v>1</v>
      </c>
      <c r="C9" s="215" t="s">
        <v>431</v>
      </c>
      <c r="D9" s="217" t="s">
        <v>432</v>
      </c>
      <c r="E9" s="218">
        <v>1648.79</v>
      </c>
      <c r="F9" s="218">
        <v>397.13099999999935</v>
      </c>
      <c r="G9" s="218">
        <v>1491.693</v>
      </c>
      <c r="H9" s="218">
        <v>390.12999999999937</v>
      </c>
      <c r="I9" s="218">
        <v>1632.2550000000001</v>
      </c>
      <c r="J9" s="218">
        <v>390.12999999999937</v>
      </c>
      <c r="K9" s="218">
        <v>1486.5650000000001</v>
      </c>
      <c r="L9" s="218">
        <v>380.58399999999938</v>
      </c>
      <c r="M9" s="218">
        <v>1603.9470000000001</v>
      </c>
      <c r="N9" s="218">
        <v>338.57999999999936</v>
      </c>
      <c r="O9" s="218">
        <v>1532.0630000000001</v>
      </c>
      <c r="P9" s="218">
        <v>317.22499999999934</v>
      </c>
      <c r="Q9" s="218">
        <v>1601.5050000000001</v>
      </c>
      <c r="R9" s="218">
        <v>309.48499999999933</v>
      </c>
      <c r="S9" s="218">
        <v>1637.9680000000003</v>
      </c>
      <c r="T9" s="218">
        <v>337.84699999999935</v>
      </c>
      <c r="U9" s="218">
        <v>1673.7870000000003</v>
      </c>
      <c r="V9" s="218">
        <v>337.84699999999935</v>
      </c>
      <c r="W9" s="219">
        <v>1665.9910000000002</v>
      </c>
      <c r="X9" s="219">
        <v>337.84699999999935</v>
      </c>
      <c r="Y9" s="219">
        <v>1641.5020000000002</v>
      </c>
      <c r="Z9" s="219">
        <v>312.48599999999931</v>
      </c>
      <c r="AA9" s="219">
        <v>1588.0900000000001</v>
      </c>
      <c r="AB9" s="219">
        <v>362.48599999999931</v>
      </c>
      <c r="AC9" s="219">
        <v>1470.8530000000003</v>
      </c>
      <c r="AD9" s="219">
        <v>356.3999999999993</v>
      </c>
      <c r="AE9" s="219">
        <v>1401.7140000000004</v>
      </c>
      <c r="AF9" s="219">
        <v>311.84999999999928</v>
      </c>
      <c r="AG9" s="219">
        <v>1337.5010000000002</v>
      </c>
      <c r="AH9" s="219">
        <v>318.21399999999926</v>
      </c>
      <c r="AI9" s="219">
        <v>1430.123</v>
      </c>
      <c r="AJ9" s="219">
        <v>361.21399999999926</v>
      </c>
      <c r="AK9" s="219">
        <v>1409.7249999999999</v>
      </c>
      <c r="AL9" s="219">
        <v>355.93999999999926</v>
      </c>
      <c r="AM9" s="219">
        <v>1445.7149999999999</v>
      </c>
      <c r="AN9" s="219">
        <v>294.02999999999929</v>
      </c>
    </row>
    <row r="10" spans="2:40" ht="14.25" x14ac:dyDescent="0.2">
      <c r="B10" s="214">
        <v>2</v>
      </c>
      <c r="C10" s="215" t="s">
        <v>303</v>
      </c>
      <c r="D10" s="217" t="s">
        <v>433</v>
      </c>
      <c r="E10" s="220">
        <v>10.344787354287199</v>
      </c>
      <c r="F10" s="220">
        <v>3.3684980440557197</v>
      </c>
      <c r="G10" s="220">
        <v>9.3591342031906635</v>
      </c>
      <c r="H10" s="220">
        <v>3.3091149820272352</v>
      </c>
      <c r="I10" s="220">
        <v>10.330850181320892</v>
      </c>
      <c r="J10" s="220">
        <v>3.3091149820272352</v>
      </c>
      <c r="K10" s="220">
        <v>9.43511987798537</v>
      </c>
      <c r="L10" s="220">
        <v>3.2281450191470871</v>
      </c>
      <c r="M10" s="220">
        <v>10.240664692624591</v>
      </c>
      <c r="N10" s="220">
        <v>2.8718636111418783</v>
      </c>
      <c r="O10" s="220">
        <v>9.8020324704779078</v>
      </c>
      <c r="P10" s="220">
        <v>2.6484815055178066</v>
      </c>
      <c r="Q10" s="220">
        <v>10.235367772149724</v>
      </c>
      <c r="R10" s="220">
        <v>2.5838609779657289</v>
      </c>
      <c r="S10" s="220">
        <v>10.472336512313078</v>
      </c>
      <c r="T10" s="220">
        <v>2.780674060876497</v>
      </c>
      <c r="U10" s="220">
        <v>10.694826925534189</v>
      </c>
      <c r="V10" s="220">
        <v>2.780674060876497</v>
      </c>
      <c r="W10" s="219">
        <v>10.64501361553031</v>
      </c>
      <c r="X10" s="219">
        <v>2.780674060876497</v>
      </c>
      <c r="Y10" s="219">
        <v>10.520973590882322</v>
      </c>
      <c r="Z10" s="219">
        <v>2.5248817866996607</v>
      </c>
      <c r="AA10" s="219">
        <v>10.17863697390823</v>
      </c>
      <c r="AB10" s="219">
        <v>2.939973586699661</v>
      </c>
      <c r="AC10" s="219">
        <v>9.427223097547289</v>
      </c>
      <c r="AD10" s="219">
        <v>2.8906125651742598</v>
      </c>
      <c r="AE10" s="219">
        <v>8.9840865109942349</v>
      </c>
      <c r="AF10" s="219">
        <v>2.5292859945274766</v>
      </c>
      <c r="AG10" s="219">
        <v>8.5068271943089862</v>
      </c>
      <c r="AH10" s="219">
        <v>2.5277972109409044</v>
      </c>
      <c r="AI10" s="219">
        <v>9.0785443460103892</v>
      </c>
      <c r="AJ10" s="219">
        <v>2.8243953876995653</v>
      </c>
      <c r="AK10" s="219">
        <v>8.9457412739762763</v>
      </c>
      <c r="AL10" s="219">
        <v>2.7797364206950581</v>
      </c>
      <c r="AM10" s="219">
        <v>9.1714874549016727</v>
      </c>
      <c r="AN10" s="219">
        <v>2.2962462768358929</v>
      </c>
    </row>
    <row r="11" spans="2:40" ht="15" x14ac:dyDescent="0.2">
      <c r="B11" s="210" t="s">
        <v>71</v>
      </c>
      <c r="C11" s="213" t="s">
        <v>305</v>
      </c>
      <c r="D11" s="217"/>
      <c r="E11" s="221"/>
      <c r="F11" s="221"/>
      <c r="G11" s="221"/>
      <c r="H11" s="221"/>
      <c r="I11" s="221"/>
      <c r="J11" s="221"/>
      <c r="K11" s="221"/>
      <c r="L11" s="221"/>
      <c r="M11" s="221"/>
      <c r="N11" s="221"/>
      <c r="O11" s="221"/>
      <c r="P11" s="221"/>
      <c r="Q11" s="221"/>
      <c r="R11" s="221"/>
      <c r="S11" s="221"/>
      <c r="T11" s="221"/>
      <c r="U11" s="221"/>
      <c r="V11" s="221"/>
      <c r="W11" s="219"/>
      <c r="X11" s="219"/>
      <c r="Y11" s="219"/>
      <c r="Z11" s="219"/>
      <c r="AA11" s="219"/>
      <c r="AB11" s="219"/>
      <c r="AC11" s="219"/>
      <c r="AD11" s="219"/>
      <c r="AE11" s="219"/>
      <c r="AF11" s="219"/>
      <c r="AG11" s="219"/>
      <c r="AH11" s="219"/>
      <c r="AI11" s="219"/>
      <c r="AJ11" s="219"/>
      <c r="AK11" s="219"/>
      <c r="AL11" s="219"/>
      <c r="AM11" s="219"/>
      <c r="AN11" s="219"/>
    </row>
    <row r="12" spans="2:40" ht="14.25" x14ac:dyDescent="0.2">
      <c r="B12" s="214">
        <v>3</v>
      </c>
      <c r="C12" s="215" t="s">
        <v>434</v>
      </c>
      <c r="D12" s="217" t="s">
        <v>432</v>
      </c>
      <c r="E12" s="218">
        <v>0</v>
      </c>
      <c r="F12" s="218">
        <v>0</v>
      </c>
      <c r="G12" s="218">
        <v>202.72</v>
      </c>
      <c r="H12" s="218">
        <v>0</v>
      </c>
      <c r="I12" s="218">
        <v>48.286999999999999</v>
      </c>
      <c r="J12" s="218">
        <v>0</v>
      </c>
      <c r="K12" s="218">
        <v>192.81300000000002</v>
      </c>
      <c r="L12" s="218">
        <v>0</v>
      </c>
      <c r="M12" s="218">
        <v>278.32100000000003</v>
      </c>
      <c r="N12" s="218">
        <v>99</v>
      </c>
      <c r="O12" s="218">
        <v>130.69900000000001</v>
      </c>
      <c r="P12" s="218">
        <v>0</v>
      </c>
      <c r="Q12" s="218">
        <v>98.861000000000004</v>
      </c>
      <c r="R12" s="218">
        <v>50</v>
      </c>
      <c r="S12" s="218">
        <v>104.94499999999999</v>
      </c>
      <c r="T12" s="218">
        <v>0</v>
      </c>
      <c r="U12" s="218">
        <v>0</v>
      </c>
      <c r="V12" s="218">
        <v>0</v>
      </c>
      <c r="W12" s="219">
        <v>193.119</v>
      </c>
      <c r="X12" s="219">
        <v>202</v>
      </c>
      <c r="Y12" s="219">
        <v>0</v>
      </c>
      <c r="Z12" s="219">
        <v>50</v>
      </c>
      <c r="AA12" s="219">
        <v>0</v>
      </c>
      <c r="AB12" s="219">
        <v>0</v>
      </c>
      <c r="AC12" s="219">
        <v>0</v>
      </c>
      <c r="AD12" s="219">
        <v>0</v>
      </c>
      <c r="AE12" s="219">
        <v>201.744</v>
      </c>
      <c r="AF12" s="219">
        <v>50</v>
      </c>
      <c r="AG12" s="219">
        <v>108.09099999999999</v>
      </c>
      <c r="AH12" s="219">
        <v>50</v>
      </c>
      <c r="AI12" s="219">
        <v>48.87</v>
      </c>
      <c r="AJ12" s="219">
        <v>53</v>
      </c>
      <c r="AK12" s="219">
        <v>150.66300000000001</v>
      </c>
      <c r="AL12" s="219">
        <v>0</v>
      </c>
      <c r="AM12" s="219">
        <v>399.71</v>
      </c>
      <c r="AN12" s="219">
        <v>98</v>
      </c>
    </row>
    <row r="13" spans="2:40" ht="14.25" x14ac:dyDescent="0.2">
      <c r="B13" s="214">
        <v>4</v>
      </c>
      <c r="C13" s="215" t="s">
        <v>435</v>
      </c>
      <c r="D13" s="217" t="s">
        <v>432</v>
      </c>
      <c r="E13" s="221"/>
      <c r="F13" s="221"/>
      <c r="G13" s="221"/>
      <c r="H13" s="221"/>
      <c r="I13" s="221"/>
      <c r="J13" s="221"/>
      <c r="K13" s="221"/>
      <c r="L13" s="221"/>
      <c r="M13" s="221"/>
      <c r="N13" s="221"/>
      <c r="O13" s="221"/>
      <c r="P13" s="221"/>
      <c r="Q13" s="221"/>
      <c r="R13" s="221"/>
      <c r="S13" s="221"/>
      <c r="T13" s="221"/>
      <c r="U13" s="221"/>
      <c r="V13" s="221"/>
      <c r="W13" s="184"/>
      <c r="X13" s="184"/>
      <c r="Y13" s="184"/>
      <c r="Z13" s="184"/>
      <c r="AA13" s="184"/>
      <c r="AB13" s="184"/>
      <c r="AC13" s="184"/>
      <c r="AD13" s="184"/>
      <c r="AE13" s="184"/>
      <c r="AF13" s="184"/>
      <c r="AG13" s="184"/>
      <c r="AH13" s="184"/>
      <c r="AI13" s="184"/>
      <c r="AJ13" s="184"/>
      <c r="AK13" s="184"/>
      <c r="AL13" s="184"/>
      <c r="AM13" s="184"/>
      <c r="AN13" s="184"/>
    </row>
    <row r="14" spans="2:40" ht="14.25" x14ac:dyDescent="0.2">
      <c r="B14" s="214">
        <v>5</v>
      </c>
      <c r="C14" s="215" t="s">
        <v>436</v>
      </c>
      <c r="D14" s="217" t="s">
        <v>432</v>
      </c>
      <c r="E14" s="218">
        <f>-E15</f>
        <v>0</v>
      </c>
      <c r="F14" s="218">
        <f t="shared" ref="F14:AN14" si="0">SUM(F12:F13)</f>
        <v>0</v>
      </c>
      <c r="G14" s="218">
        <f t="shared" si="0"/>
        <v>202.72</v>
      </c>
      <c r="H14" s="218">
        <f t="shared" si="0"/>
        <v>0</v>
      </c>
      <c r="I14" s="218">
        <f t="shared" si="0"/>
        <v>48.286999999999999</v>
      </c>
      <c r="J14" s="218">
        <f t="shared" si="0"/>
        <v>0</v>
      </c>
      <c r="K14" s="218">
        <f t="shared" si="0"/>
        <v>192.81300000000002</v>
      </c>
      <c r="L14" s="218">
        <f t="shared" si="0"/>
        <v>0</v>
      </c>
      <c r="M14" s="218">
        <f t="shared" si="0"/>
        <v>278.32100000000003</v>
      </c>
      <c r="N14" s="218">
        <f t="shared" si="0"/>
        <v>99</v>
      </c>
      <c r="O14" s="218">
        <f t="shared" si="0"/>
        <v>130.69900000000001</v>
      </c>
      <c r="P14" s="218">
        <f t="shared" si="0"/>
        <v>0</v>
      </c>
      <c r="Q14" s="218">
        <f t="shared" si="0"/>
        <v>98.861000000000004</v>
      </c>
      <c r="R14" s="218">
        <f t="shared" si="0"/>
        <v>50</v>
      </c>
      <c r="S14" s="218">
        <f t="shared" si="0"/>
        <v>104.94499999999999</v>
      </c>
      <c r="T14" s="218">
        <f t="shared" si="0"/>
        <v>0</v>
      </c>
      <c r="U14" s="218">
        <f t="shared" si="0"/>
        <v>0</v>
      </c>
      <c r="V14" s="218">
        <f t="shared" si="0"/>
        <v>0</v>
      </c>
      <c r="W14" s="218">
        <f t="shared" si="0"/>
        <v>193.119</v>
      </c>
      <c r="X14" s="218">
        <f t="shared" si="0"/>
        <v>202</v>
      </c>
      <c r="Y14" s="218">
        <f t="shared" si="0"/>
        <v>0</v>
      </c>
      <c r="Z14" s="218">
        <f t="shared" si="0"/>
        <v>50</v>
      </c>
      <c r="AA14" s="218">
        <f t="shared" si="0"/>
        <v>0</v>
      </c>
      <c r="AB14" s="218">
        <f t="shared" si="0"/>
        <v>0</v>
      </c>
      <c r="AC14" s="218">
        <f t="shared" si="0"/>
        <v>0</v>
      </c>
      <c r="AD14" s="218">
        <f t="shared" si="0"/>
        <v>0</v>
      </c>
      <c r="AE14" s="218">
        <f t="shared" si="0"/>
        <v>201.744</v>
      </c>
      <c r="AF14" s="218">
        <f t="shared" si="0"/>
        <v>50</v>
      </c>
      <c r="AG14" s="218">
        <f t="shared" si="0"/>
        <v>108.09099999999999</v>
      </c>
      <c r="AH14" s="218">
        <f t="shared" si="0"/>
        <v>50</v>
      </c>
      <c r="AI14" s="218">
        <f t="shared" si="0"/>
        <v>48.87</v>
      </c>
      <c r="AJ14" s="218">
        <f t="shared" si="0"/>
        <v>53</v>
      </c>
      <c r="AK14" s="218">
        <f t="shared" si="0"/>
        <v>150.66300000000001</v>
      </c>
      <c r="AL14" s="218">
        <f t="shared" si="0"/>
        <v>0</v>
      </c>
      <c r="AM14" s="218">
        <f t="shared" si="0"/>
        <v>399.71</v>
      </c>
      <c r="AN14" s="218">
        <f t="shared" si="0"/>
        <v>98</v>
      </c>
    </row>
    <row r="15" spans="2:40" ht="14.25" x14ac:dyDescent="0.2">
      <c r="B15" s="214">
        <v>6</v>
      </c>
      <c r="C15" s="215" t="s">
        <v>308</v>
      </c>
      <c r="D15" s="217" t="s">
        <v>432</v>
      </c>
      <c r="E15" s="221"/>
      <c r="F15" s="221"/>
      <c r="G15" s="221"/>
      <c r="H15" s="221"/>
      <c r="I15" s="221"/>
      <c r="J15" s="221"/>
      <c r="K15" s="221"/>
      <c r="L15" s="221"/>
      <c r="M15" s="221"/>
      <c r="N15" s="221"/>
      <c r="O15" s="221"/>
      <c r="P15" s="221"/>
      <c r="Q15" s="221"/>
      <c r="R15" s="221"/>
      <c r="S15" s="221"/>
      <c r="T15" s="221"/>
      <c r="U15" s="221"/>
      <c r="V15" s="221"/>
      <c r="W15" s="184"/>
      <c r="X15" s="184"/>
      <c r="Y15" s="184"/>
      <c r="Z15" s="184"/>
      <c r="AA15" s="184"/>
      <c r="AB15" s="184"/>
      <c r="AC15" s="184"/>
      <c r="AD15" s="184"/>
      <c r="AE15" s="184"/>
      <c r="AF15" s="184"/>
      <c r="AG15" s="184"/>
      <c r="AH15" s="184"/>
      <c r="AI15" s="184"/>
      <c r="AJ15" s="184"/>
      <c r="AK15" s="184"/>
      <c r="AL15" s="184"/>
      <c r="AM15" s="184"/>
      <c r="AN15" s="184"/>
    </row>
    <row r="16" spans="2:40" ht="14.25" x14ac:dyDescent="0.2">
      <c r="B16" s="214">
        <v>7</v>
      </c>
      <c r="C16" s="215" t="s">
        <v>437</v>
      </c>
      <c r="D16" s="217" t="s">
        <v>432</v>
      </c>
      <c r="E16" s="218">
        <f>E14-E15</f>
        <v>0</v>
      </c>
      <c r="F16" s="218">
        <f t="shared" ref="F16:AN16" si="1">F14-F15</f>
        <v>0</v>
      </c>
      <c r="G16" s="218">
        <f t="shared" si="1"/>
        <v>202.72</v>
      </c>
      <c r="H16" s="218">
        <f t="shared" si="1"/>
        <v>0</v>
      </c>
      <c r="I16" s="218">
        <f t="shared" si="1"/>
        <v>48.286999999999999</v>
      </c>
      <c r="J16" s="218">
        <f t="shared" si="1"/>
        <v>0</v>
      </c>
      <c r="K16" s="218">
        <f t="shared" si="1"/>
        <v>192.81300000000002</v>
      </c>
      <c r="L16" s="218">
        <f t="shared" si="1"/>
        <v>0</v>
      </c>
      <c r="M16" s="218">
        <f t="shared" si="1"/>
        <v>278.32100000000003</v>
      </c>
      <c r="N16" s="218">
        <f t="shared" si="1"/>
        <v>99</v>
      </c>
      <c r="O16" s="218">
        <f t="shared" si="1"/>
        <v>130.69900000000001</v>
      </c>
      <c r="P16" s="218">
        <f t="shared" si="1"/>
        <v>0</v>
      </c>
      <c r="Q16" s="218">
        <f t="shared" si="1"/>
        <v>98.861000000000004</v>
      </c>
      <c r="R16" s="218">
        <f t="shared" si="1"/>
        <v>50</v>
      </c>
      <c r="S16" s="218">
        <f t="shared" si="1"/>
        <v>104.94499999999999</v>
      </c>
      <c r="T16" s="218">
        <f t="shared" si="1"/>
        <v>0</v>
      </c>
      <c r="U16" s="218">
        <f t="shared" si="1"/>
        <v>0</v>
      </c>
      <c r="V16" s="218">
        <f t="shared" si="1"/>
        <v>0</v>
      </c>
      <c r="W16" s="218">
        <f t="shared" si="1"/>
        <v>193.119</v>
      </c>
      <c r="X16" s="218">
        <f t="shared" si="1"/>
        <v>202</v>
      </c>
      <c r="Y16" s="218">
        <f t="shared" si="1"/>
        <v>0</v>
      </c>
      <c r="Z16" s="218">
        <f t="shared" si="1"/>
        <v>50</v>
      </c>
      <c r="AA16" s="218">
        <f t="shared" si="1"/>
        <v>0</v>
      </c>
      <c r="AB16" s="218">
        <f t="shared" si="1"/>
        <v>0</v>
      </c>
      <c r="AC16" s="218">
        <f t="shared" si="1"/>
        <v>0</v>
      </c>
      <c r="AD16" s="218">
        <f t="shared" si="1"/>
        <v>0</v>
      </c>
      <c r="AE16" s="218">
        <f t="shared" si="1"/>
        <v>201.744</v>
      </c>
      <c r="AF16" s="218">
        <f t="shared" si="1"/>
        <v>50</v>
      </c>
      <c r="AG16" s="218">
        <f t="shared" si="1"/>
        <v>108.09099999999999</v>
      </c>
      <c r="AH16" s="218">
        <f t="shared" si="1"/>
        <v>50</v>
      </c>
      <c r="AI16" s="218">
        <f t="shared" si="1"/>
        <v>48.87</v>
      </c>
      <c r="AJ16" s="218">
        <f t="shared" si="1"/>
        <v>53</v>
      </c>
      <c r="AK16" s="218">
        <f t="shared" si="1"/>
        <v>150.66300000000001</v>
      </c>
      <c r="AL16" s="218">
        <f t="shared" si="1"/>
        <v>0</v>
      </c>
      <c r="AM16" s="218">
        <f t="shared" si="1"/>
        <v>399.71</v>
      </c>
      <c r="AN16" s="218">
        <f t="shared" si="1"/>
        <v>98</v>
      </c>
    </row>
    <row r="17" spans="2:40" ht="15" x14ac:dyDescent="0.2">
      <c r="B17" s="210" t="s">
        <v>72</v>
      </c>
      <c r="C17" s="213" t="s">
        <v>310</v>
      </c>
      <c r="D17" s="217"/>
      <c r="E17" s="221"/>
      <c r="F17" s="221"/>
      <c r="G17" s="221"/>
      <c r="H17" s="221"/>
      <c r="I17" s="221"/>
      <c r="J17" s="221"/>
      <c r="K17" s="221"/>
      <c r="L17" s="221"/>
      <c r="M17" s="221"/>
      <c r="N17" s="221"/>
      <c r="O17" s="221"/>
      <c r="P17" s="221"/>
      <c r="Q17" s="221"/>
      <c r="R17" s="221"/>
      <c r="S17" s="221"/>
      <c r="T17" s="221"/>
      <c r="U17" s="221"/>
      <c r="V17" s="221"/>
      <c r="W17" s="184"/>
      <c r="X17" s="184"/>
      <c r="Y17" s="184"/>
      <c r="Z17" s="184"/>
      <c r="AA17" s="184"/>
      <c r="AB17" s="184"/>
      <c r="AC17" s="184"/>
      <c r="AD17" s="184"/>
      <c r="AE17" s="184"/>
      <c r="AF17" s="184"/>
      <c r="AG17" s="184"/>
      <c r="AH17" s="184"/>
      <c r="AI17" s="184"/>
      <c r="AJ17" s="184"/>
      <c r="AK17" s="184"/>
      <c r="AL17" s="184"/>
      <c r="AM17" s="184"/>
      <c r="AN17" s="184"/>
    </row>
    <row r="18" spans="2:40" ht="14.25" x14ac:dyDescent="0.2">
      <c r="B18" s="214">
        <v>8</v>
      </c>
      <c r="C18" s="215" t="s">
        <v>438</v>
      </c>
      <c r="D18" s="217" t="s">
        <v>433</v>
      </c>
      <c r="E18" s="220">
        <v>0</v>
      </c>
      <c r="F18" s="220">
        <v>0</v>
      </c>
      <c r="G18" s="220">
        <v>1.3651257000000001</v>
      </c>
      <c r="H18" s="220">
        <v>0</v>
      </c>
      <c r="I18" s="220">
        <v>0.33542759999999999</v>
      </c>
      <c r="J18" s="220">
        <v>0</v>
      </c>
      <c r="K18" s="220">
        <v>1.2871465</v>
      </c>
      <c r="L18" s="220"/>
      <c r="M18" s="220">
        <v>1.801955</v>
      </c>
      <c r="N18" s="220">
        <v>0.78145039999999999</v>
      </c>
      <c r="O18" s="220">
        <v>0.82483450000000003</v>
      </c>
      <c r="P18" s="220">
        <v>0</v>
      </c>
      <c r="Q18" s="220">
        <v>0.63590990000000003</v>
      </c>
      <c r="R18" s="220">
        <v>0.37490620000000002</v>
      </c>
      <c r="S18" s="220">
        <v>0.66417780000000004</v>
      </c>
      <c r="T18" s="220">
        <v>0</v>
      </c>
      <c r="U18" s="220">
        <v>0</v>
      </c>
      <c r="V18" s="220">
        <v>0</v>
      </c>
      <c r="W18" s="184">
        <v>1.2706875</v>
      </c>
      <c r="X18" s="184">
        <v>1.5812809000000001</v>
      </c>
      <c r="Y18" s="184">
        <v>0</v>
      </c>
      <c r="Z18" s="184">
        <v>0.41509180000000001</v>
      </c>
      <c r="AA18" s="184">
        <v>0</v>
      </c>
      <c r="AB18" s="184">
        <v>0</v>
      </c>
      <c r="AC18" s="184">
        <v>0</v>
      </c>
      <c r="AD18" s="184">
        <v>0</v>
      </c>
      <c r="AE18" s="184">
        <v>1.214291</v>
      </c>
      <c r="AF18" s="184">
        <v>0.34514260000000002</v>
      </c>
      <c r="AG18" s="184">
        <v>0.6699157</v>
      </c>
      <c r="AH18" s="184">
        <v>0.35133239999999999</v>
      </c>
      <c r="AI18" s="184">
        <v>0.30675330000000001</v>
      </c>
      <c r="AJ18" s="184">
        <v>0.41043560000000001</v>
      </c>
      <c r="AK18" s="184">
        <v>0.95322150000000005</v>
      </c>
      <c r="AL18" s="184">
        <v>0</v>
      </c>
      <c r="AM18" s="184">
        <v>2.4687152999999999</v>
      </c>
      <c r="AN18" s="184">
        <v>0.76620279999999996</v>
      </c>
    </row>
    <row r="19" spans="2:40" ht="14.25" x14ac:dyDescent="0.2">
      <c r="B19" s="214">
        <v>9</v>
      </c>
      <c r="C19" s="215" t="s">
        <v>439</v>
      </c>
      <c r="D19" s="217" t="s">
        <v>433</v>
      </c>
      <c r="E19" s="221"/>
      <c r="F19" s="221"/>
      <c r="G19" s="221"/>
      <c r="H19" s="221"/>
      <c r="I19" s="221"/>
      <c r="J19" s="221"/>
      <c r="K19" s="221"/>
      <c r="L19" s="221"/>
      <c r="M19" s="221"/>
      <c r="N19" s="221"/>
      <c r="O19" s="221"/>
      <c r="P19" s="221"/>
      <c r="Q19" s="221"/>
      <c r="R19" s="221"/>
      <c r="S19" s="221"/>
      <c r="T19" s="221"/>
      <c r="U19" s="221"/>
      <c r="V19" s="221"/>
      <c r="W19" s="184"/>
      <c r="X19" s="184"/>
      <c r="Y19" s="184"/>
      <c r="Z19" s="184"/>
      <c r="AA19" s="184"/>
      <c r="AB19" s="184"/>
      <c r="AC19" s="184"/>
      <c r="AD19" s="184"/>
      <c r="AE19" s="184"/>
      <c r="AF19" s="184"/>
      <c r="AG19" s="184"/>
      <c r="AH19" s="184"/>
      <c r="AI19" s="184"/>
      <c r="AJ19" s="184"/>
      <c r="AK19" s="184"/>
      <c r="AL19" s="184"/>
      <c r="AM19" s="184"/>
      <c r="AN19" s="184"/>
    </row>
    <row r="20" spans="2:40" ht="14.25" x14ac:dyDescent="0.2">
      <c r="B20" s="214">
        <v>10</v>
      </c>
      <c r="C20" s="215" t="s">
        <v>313</v>
      </c>
      <c r="D20" s="217" t="s">
        <v>433</v>
      </c>
      <c r="E20" s="221"/>
      <c r="F20" s="221"/>
      <c r="G20" s="221"/>
      <c r="H20" s="221"/>
      <c r="I20" s="221"/>
      <c r="J20" s="221"/>
      <c r="K20" s="221"/>
      <c r="L20" s="221"/>
      <c r="M20" s="221"/>
      <c r="N20" s="221"/>
      <c r="O20" s="221"/>
      <c r="P20" s="221"/>
      <c r="Q20" s="221"/>
      <c r="R20" s="221"/>
      <c r="S20" s="221"/>
      <c r="T20" s="221"/>
      <c r="U20" s="221"/>
      <c r="V20" s="221"/>
      <c r="W20" s="184"/>
      <c r="X20" s="184"/>
      <c r="Y20" s="184"/>
      <c r="Z20" s="184"/>
      <c r="AA20" s="184"/>
      <c r="AB20" s="184"/>
      <c r="AC20" s="184"/>
      <c r="AD20" s="184"/>
      <c r="AE20" s="184"/>
      <c r="AF20" s="184"/>
      <c r="AG20" s="184"/>
      <c r="AH20" s="184"/>
      <c r="AI20" s="184"/>
      <c r="AJ20" s="184"/>
      <c r="AK20" s="184"/>
      <c r="AL20" s="184"/>
      <c r="AM20" s="184"/>
      <c r="AN20" s="184"/>
    </row>
    <row r="21" spans="2:40" ht="14.25" x14ac:dyDescent="0.2">
      <c r="B21" s="214">
        <v>11</v>
      </c>
      <c r="C21" s="215" t="s">
        <v>314</v>
      </c>
      <c r="D21" s="217" t="s">
        <v>433</v>
      </c>
      <c r="E21" s="220">
        <f>SUM(E18:E20)</f>
        <v>0</v>
      </c>
      <c r="F21" s="220">
        <f t="shared" ref="F21:AN21" si="2">SUM(F18:F20)</f>
        <v>0</v>
      </c>
      <c r="G21" s="220">
        <f t="shared" si="2"/>
        <v>1.3651257000000001</v>
      </c>
      <c r="H21" s="220">
        <f t="shared" si="2"/>
        <v>0</v>
      </c>
      <c r="I21" s="220">
        <f t="shared" si="2"/>
        <v>0.33542759999999999</v>
      </c>
      <c r="J21" s="220">
        <f t="shared" si="2"/>
        <v>0</v>
      </c>
      <c r="K21" s="220">
        <f t="shared" si="2"/>
        <v>1.2871465</v>
      </c>
      <c r="L21" s="220">
        <f t="shared" si="2"/>
        <v>0</v>
      </c>
      <c r="M21" s="220">
        <f t="shared" si="2"/>
        <v>1.801955</v>
      </c>
      <c r="N21" s="220">
        <f t="shared" si="2"/>
        <v>0.78145039999999999</v>
      </c>
      <c r="O21" s="220">
        <f t="shared" si="2"/>
        <v>0.82483450000000003</v>
      </c>
      <c r="P21" s="220">
        <f t="shared" si="2"/>
        <v>0</v>
      </c>
      <c r="Q21" s="220">
        <f t="shared" si="2"/>
        <v>0.63590990000000003</v>
      </c>
      <c r="R21" s="220">
        <f t="shared" si="2"/>
        <v>0.37490620000000002</v>
      </c>
      <c r="S21" s="220">
        <f t="shared" si="2"/>
        <v>0.66417780000000004</v>
      </c>
      <c r="T21" s="220">
        <f t="shared" si="2"/>
        <v>0</v>
      </c>
      <c r="U21" s="220">
        <f t="shared" si="2"/>
        <v>0</v>
      </c>
      <c r="V21" s="220">
        <f t="shared" si="2"/>
        <v>0</v>
      </c>
      <c r="W21" s="220">
        <f t="shared" si="2"/>
        <v>1.2706875</v>
      </c>
      <c r="X21" s="220">
        <f t="shared" si="2"/>
        <v>1.5812809000000001</v>
      </c>
      <c r="Y21" s="220">
        <f t="shared" si="2"/>
        <v>0</v>
      </c>
      <c r="Z21" s="220">
        <f t="shared" si="2"/>
        <v>0.41509180000000001</v>
      </c>
      <c r="AA21" s="220">
        <f t="shared" si="2"/>
        <v>0</v>
      </c>
      <c r="AB21" s="220">
        <f t="shared" si="2"/>
        <v>0</v>
      </c>
      <c r="AC21" s="220">
        <f t="shared" si="2"/>
        <v>0</v>
      </c>
      <c r="AD21" s="220">
        <f t="shared" si="2"/>
        <v>0</v>
      </c>
      <c r="AE21" s="220">
        <f t="shared" si="2"/>
        <v>1.214291</v>
      </c>
      <c r="AF21" s="220">
        <f t="shared" si="2"/>
        <v>0.34514260000000002</v>
      </c>
      <c r="AG21" s="220">
        <f t="shared" si="2"/>
        <v>0.6699157</v>
      </c>
      <c r="AH21" s="220">
        <f t="shared" si="2"/>
        <v>0.35133239999999999</v>
      </c>
      <c r="AI21" s="220">
        <f t="shared" si="2"/>
        <v>0.30675330000000001</v>
      </c>
      <c r="AJ21" s="220">
        <f t="shared" si="2"/>
        <v>0.41043560000000001</v>
      </c>
      <c r="AK21" s="220">
        <f t="shared" si="2"/>
        <v>0.95322150000000005</v>
      </c>
      <c r="AL21" s="220">
        <f t="shared" si="2"/>
        <v>0</v>
      </c>
      <c r="AM21" s="220">
        <f t="shared" si="2"/>
        <v>2.4687152999999999</v>
      </c>
      <c r="AN21" s="220">
        <f t="shared" si="2"/>
        <v>0.76620279999999996</v>
      </c>
    </row>
    <row r="22" spans="2:40" ht="15" x14ac:dyDescent="0.2">
      <c r="B22" s="210" t="s">
        <v>315</v>
      </c>
      <c r="C22" s="213" t="s">
        <v>316</v>
      </c>
      <c r="D22" s="217"/>
      <c r="E22" s="221"/>
      <c r="F22" s="221"/>
      <c r="G22" s="221"/>
      <c r="H22" s="221"/>
      <c r="I22" s="221"/>
      <c r="J22" s="221"/>
      <c r="K22" s="221"/>
      <c r="L22" s="221"/>
      <c r="M22" s="221"/>
      <c r="N22" s="221"/>
      <c r="O22" s="221"/>
      <c r="P22" s="221"/>
      <c r="Q22" s="221"/>
      <c r="R22" s="221"/>
      <c r="S22" s="221"/>
      <c r="T22" s="221"/>
      <c r="U22" s="221"/>
      <c r="V22" s="221"/>
      <c r="W22" s="184"/>
      <c r="X22" s="184"/>
      <c r="Y22" s="184"/>
      <c r="Z22" s="184"/>
      <c r="AA22" s="184"/>
      <c r="AB22" s="184"/>
      <c r="AC22" s="184"/>
      <c r="AD22" s="184"/>
      <c r="AE22" s="184"/>
      <c r="AF22" s="184"/>
      <c r="AG22" s="184"/>
      <c r="AH22" s="184"/>
      <c r="AI22" s="184"/>
      <c r="AJ22" s="184"/>
      <c r="AK22" s="184"/>
      <c r="AL22" s="184"/>
      <c r="AM22" s="184"/>
      <c r="AN22" s="184"/>
    </row>
    <row r="23" spans="2:40" ht="14.25" x14ac:dyDescent="0.2">
      <c r="B23" s="214">
        <v>12</v>
      </c>
      <c r="C23" s="215" t="s">
        <v>317</v>
      </c>
      <c r="D23" s="217"/>
      <c r="E23" s="221"/>
      <c r="F23" s="221"/>
      <c r="G23" s="221"/>
      <c r="H23" s="221"/>
      <c r="I23" s="221"/>
      <c r="J23" s="221"/>
      <c r="K23" s="221"/>
      <c r="L23" s="221"/>
      <c r="M23" s="221"/>
      <c r="N23" s="221"/>
      <c r="O23" s="221"/>
      <c r="P23" s="221"/>
      <c r="Q23" s="221"/>
      <c r="R23" s="221"/>
      <c r="S23" s="221"/>
      <c r="T23" s="221"/>
      <c r="U23" s="221"/>
      <c r="V23" s="221"/>
      <c r="W23" s="184"/>
      <c r="X23" s="184"/>
      <c r="Y23" s="184"/>
      <c r="Z23" s="184"/>
      <c r="AA23" s="184"/>
      <c r="AB23" s="184"/>
      <c r="AC23" s="184"/>
      <c r="AD23" s="184"/>
      <c r="AE23" s="184"/>
      <c r="AF23" s="184"/>
      <c r="AG23" s="184"/>
      <c r="AH23" s="184"/>
      <c r="AI23" s="184"/>
      <c r="AJ23" s="184"/>
      <c r="AK23" s="184"/>
      <c r="AL23" s="184"/>
      <c r="AM23" s="184"/>
      <c r="AN23" s="184"/>
    </row>
    <row r="24" spans="2:40" ht="14.25" x14ac:dyDescent="0.2">
      <c r="B24" s="214"/>
      <c r="C24" s="215" t="s">
        <v>318</v>
      </c>
      <c r="D24" s="217" t="s">
        <v>433</v>
      </c>
      <c r="E24" s="221"/>
      <c r="F24" s="221"/>
      <c r="G24" s="221"/>
      <c r="H24" s="221"/>
      <c r="I24" s="221"/>
      <c r="J24" s="221"/>
      <c r="K24" s="221"/>
      <c r="L24" s="221"/>
      <c r="M24" s="221"/>
      <c r="N24" s="221"/>
      <c r="O24" s="221"/>
      <c r="P24" s="221"/>
      <c r="Q24" s="221"/>
      <c r="R24" s="221"/>
      <c r="S24" s="221"/>
      <c r="T24" s="221"/>
      <c r="U24" s="221"/>
      <c r="V24" s="221"/>
      <c r="W24" s="184"/>
      <c r="X24" s="184"/>
      <c r="Y24" s="184"/>
      <c r="Z24" s="184"/>
      <c r="AA24" s="184"/>
      <c r="AB24" s="184"/>
      <c r="AC24" s="184"/>
      <c r="AD24" s="184"/>
      <c r="AE24" s="184"/>
      <c r="AF24" s="184"/>
      <c r="AG24" s="184"/>
      <c r="AH24" s="184"/>
      <c r="AI24" s="184"/>
      <c r="AJ24" s="184"/>
      <c r="AK24" s="184"/>
      <c r="AL24" s="184"/>
      <c r="AM24" s="184"/>
      <c r="AN24" s="184"/>
    </row>
    <row r="25" spans="2:40" ht="14.25" x14ac:dyDescent="0.2">
      <c r="B25" s="214"/>
      <c r="C25" s="215" t="s">
        <v>319</v>
      </c>
      <c r="D25" s="217" t="s">
        <v>433</v>
      </c>
      <c r="E25" s="221"/>
      <c r="F25" s="221"/>
      <c r="G25" s="221"/>
      <c r="H25" s="221"/>
      <c r="I25" s="221"/>
      <c r="J25" s="221"/>
      <c r="K25" s="221"/>
      <c r="L25" s="221"/>
      <c r="M25" s="221"/>
      <c r="N25" s="221"/>
      <c r="O25" s="221"/>
      <c r="P25" s="221"/>
      <c r="Q25" s="221"/>
      <c r="R25" s="221"/>
      <c r="S25" s="221"/>
      <c r="T25" s="221"/>
      <c r="U25" s="221"/>
      <c r="V25" s="221"/>
      <c r="W25" s="184"/>
      <c r="X25" s="184"/>
      <c r="Y25" s="184"/>
      <c r="Z25" s="184"/>
      <c r="AA25" s="184"/>
      <c r="AB25" s="184"/>
      <c r="AC25" s="184"/>
      <c r="AD25" s="184"/>
      <c r="AE25" s="184"/>
      <c r="AF25" s="184"/>
      <c r="AG25" s="184"/>
      <c r="AH25" s="184"/>
      <c r="AI25" s="184"/>
      <c r="AJ25" s="184"/>
      <c r="AK25" s="184"/>
      <c r="AL25" s="184"/>
      <c r="AM25" s="184"/>
      <c r="AN25" s="184"/>
    </row>
    <row r="26" spans="2:40" ht="14.25" x14ac:dyDescent="0.2">
      <c r="B26" s="214"/>
      <c r="C26" s="215" t="s">
        <v>320</v>
      </c>
      <c r="D26" s="217" t="s">
        <v>433</v>
      </c>
      <c r="E26" s="221"/>
      <c r="F26" s="221"/>
      <c r="G26" s="221"/>
      <c r="H26" s="221"/>
      <c r="I26" s="221"/>
      <c r="J26" s="221"/>
      <c r="K26" s="221"/>
      <c r="L26" s="221"/>
      <c r="M26" s="221"/>
      <c r="N26" s="221"/>
      <c r="O26" s="221"/>
      <c r="P26" s="221"/>
      <c r="Q26" s="221"/>
      <c r="R26" s="221"/>
      <c r="S26" s="221"/>
      <c r="T26" s="221"/>
      <c r="U26" s="221"/>
      <c r="V26" s="221"/>
      <c r="W26" s="184"/>
      <c r="X26" s="184"/>
      <c r="Y26" s="184"/>
      <c r="Z26" s="184"/>
      <c r="AA26" s="184"/>
      <c r="AB26" s="184"/>
      <c r="AC26" s="184"/>
      <c r="AD26" s="184"/>
      <c r="AE26" s="184"/>
      <c r="AF26" s="184"/>
      <c r="AG26" s="184"/>
      <c r="AH26" s="184"/>
      <c r="AI26" s="184"/>
      <c r="AJ26" s="184"/>
      <c r="AK26" s="184"/>
      <c r="AL26" s="184"/>
      <c r="AM26" s="184"/>
      <c r="AN26" s="184"/>
    </row>
    <row r="27" spans="2:40" ht="14.25" x14ac:dyDescent="0.2">
      <c r="B27" s="214"/>
      <c r="C27" s="215" t="s">
        <v>9</v>
      </c>
      <c r="D27" s="217" t="s">
        <v>433</v>
      </c>
      <c r="E27" s="221"/>
      <c r="F27" s="221"/>
      <c r="G27" s="221"/>
      <c r="H27" s="221"/>
      <c r="I27" s="221"/>
      <c r="J27" s="221"/>
      <c r="K27" s="221"/>
      <c r="L27" s="221"/>
      <c r="M27" s="221"/>
      <c r="N27" s="221"/>
      <c r="O27" s="221"/>
      <c r="P27" s="221"/>
      <c r="Q27" s="221"/>
      <c r="R27" s="221"/>
      <c r="S27" s="221"/>
      <c r="T27" s="221"/>
      <c r="U27" s="221"/>
      <c r="V27" s="221"/>
      <c r="W27" s="184"/>
      <c r="X27" s="184"/>
      <c r="Y27" s="184"/>
      <c r="Z27" s="184"/>
      <c r="AA27" s="184"/>
      <c r="AB27" s="184"/>
      <c r="AC27" s="184"/>
      <c r="AD27" s="184"/>
      <c r="AE27" s="184"/>
      <c r="AF27" s="184"/>
      <c r="AG27" s="184"/>
      <c r="AH27" s="184"/>
      <c r="AI27" s="184"/>
      <c r="AJ27" s="184"/>
      <c r="AK27" s="184"/>
      <c r="AL27" s="184"/>
      <c r="AM27" s="184"/>
      <c r="AN27" s="184"/>
    </row>
    <row r="28" spans="2:40" ht="14.25" x14ac:dyDescent="0.2">
      <c r="B28" s="214">
        <v>13</v>
      </c>
      <c r="C28" s="215" t="s">
        <v>440</v>
      </c>
      <c r="D28" s="217" t="s">
        <v>433</v>
      </c>
      <c r="E28" s="221"/>
      <c r="F28" s="221"/>
      <c r="G28" s="221"/>
      <c r="H28" s="221"/>
      <c r="I28" s="221"/>
      <c r="J28" s="221"/>
      <c r="K28" s="221"/>
      <c r="L28" s="221"/>
      <c r="M28" s="221"/>
      <c r="N28" s="221"/>
      <c r="O28" s="221"/>
      <c r="P28" s="221"/>
      <c r="Q28" s="221"/>
      <c r="R28" s="221"/>
      <c r="S28" s="221"/>
      <c r="T28" s="221"/>
      <c r="U28" s="221"/>
      <c r="V28" s="221"/>
      <c r="W28" s="184"/>
      <c r="X28" s="184"/>
      <c r="Y28" s="184"/>
      <c r="Z28" s="184"/>
      <c r="AA28" s="184"/>
      <c r="AB28" s="184"/>
      <c r="AC28" s="184"/>
      <c r="AD28" s="184"/>
      <c r="AE28" s="184"/>
      <c r="AF28" s="184"/>
      <c r="AG28" s="184"/>
      <c r="AH28" s="184"/>
      <c r="AI28" s="184"/>
      <c r="AJ28" s="184"/>
      <c r="AK28" s="184"/>
      <c r="AL28" s="184"/>
      <c r="AM28" s="184"/>
      <c r="AN28" s="184"/>
    </row>
    <row r="29" spans="2:40" ht="14.25" x14ac:dyDescent="0.2">
      <c r="B29" s="214">
        <v>14</v>
      </c>
      <c r="C29" s="215" t="s">
        <v>322</v>
      </c>
      <c r="D29" s="217" t="s">
        <v>433</v>
      </c>
      <c r="E29" s="221"/>
      <c r="F29" s="221"/>
      <c r="G29" s="221"/>
      <c r="H29" s="221"/>
      <c r="I29" s="221"/>
      <c r="J29" s="221"/>
      <c r="K29" s="221"/>
      <c r="L29" s="221"/>
      <c r="M29" s="221"/>
      <c r="N29" s="221"/>
      <c r="O29" s="221"/>
      <c r="P29" s="221"/>
      <c r="Q29" s="221"/>
      <c r="R29" s="221"/>
      <c r="S29" s="221"/>
      <c r="T29" s="221"/>
      <c r="U29" s="221"/>
      <c r="V29" s="221"/>
      <c r="W29" s="184"/>
      <c r="X29" s="184"/>
      <c r="Y29" s="184"/>
      <c r="Z29" s="184"/>
      <c r="AA29" s="184"/>
      <c r="AB29" s="184"/>
      <c r="AC29" s="184"/>
      <c r="AD29" s="184"/>
      <c r="AE29" s="184"/>
      <c r="AF29" s="184"/>
      <c r="AG29" s="184"/>
      <c r="AH29" s="184"/>
      <c r="AI29" s="184"/>
      <c r="AJ29" s="184"/>
      <c r="AK29" s="184"/>
      <c r="AL29" s="184"/>
      <c r="AM29" s="184"/>
      <c r="AN29" s="184"/>
    </row>
    <row r="30" spans="2:40" ht="21.75" customHeight="1" x14ac:dyDescent="0.2">
      <c r="B30" s="214">
        <v>15</v>
      </c>
      <c r="C30" s="215" t="s">
        <v>441</v>
      </c>
      <c r="D30" s="217" t="s">
        <v>433</v>
      </c>
      <c r="E30" s="221"/>
      <c r="F30" s="221"/>
      <c r="G30" s="221"/>
      <c r="H30" s="221"/>
      <c r="I30" s="221"/>
      <c r="J30" s="221"/>
      <c r="K30" s="221"/>
      <c r="L30" s="221"/>
      <c r="M30" s="221"/>
      <c r="N30" s="221"/>
      <c r="O30" s="221"/>
      <c r="P30" s="221"/>
      <c r="Q30" s="221"/>
      <c r="R30" s="221"/>
      <c r="S30" s="221"/>
      <c r="T30" s="221"/>
      <c r="U30" s="221"/>
      <c r="V30" s="221"/>
      <c r="W30" s="184"/>
      <c r="X30" s="184"/>
      <c r="Y30" s="184"/>
      <c r="Z30" s="184"/>
      <c r="AA30" s="184"/>
      <c r="AB30" s="184"/>
      <c r="AC30" s="184"/>
      <c r="AD30" s="184"/>
      <c r="AE30" s="184"/>
      <c r="AF30" s="184"/>
      <c r="AG30" s="184"/>
      <c r="AH30" s="184"/>
      <c r="AI30" s="184"/>
      <c r="AJ30" s="184"/>
      <c r="AK30" s="184"/>
      <c r="AL30" s="184"/>
      <c r="AM30" s="184"/>
      <c r="AN30" s="184"/>
    </row>
    <row r="31" spans="2:40" ht="14.25" x14ac:dyDescent="0.2">
      <c r="B31" s="214">
        <v>16</v>
      </c>
      <c r="C31" s="215" t="s">
        <v>323</v>
      </c>
      <c r="D31" s="217" t="s">
        <v>433</v>
      </c>
      <c r="E31" s="220">
        <v>0</v>
      </c>
      <c r="F31" s="220">
        <v>0</v>
      </c>
      <c r="G31" s="220">
        <v>0</v>
      </c>
      <c r="H31" s="220">
        <v>0</v>
      </c>
      <c r="I31" s="220">
        <v>0</v>
      </c>
      <c r="J31" s="220">
        <v>0</v>
      </c>
      <c r="K31" s="220">
        <v>0</v>
      </c>
      <c r="L31" s="220">
        <v>0</v>
      </c>
      <c r="M31" s="220">
        <v>0</v>
      </c>
      <c r="N31" s="220">
        <v>0</v>
      </c>
      <c r="O31" s="220">
        <v>0</v>
      </c>
      <c r="P31" s="220">
        <v>0</v>
      </c>
      <c r="Q31" s="220">
        <v>0</v>
      </c>
      <c r="R31" s="220">
        <v>0</v>
      </c>
      <c r="S31" s="220">
        <v>0</v>
      </c>
      <c r="T31" s="220">
        <v>0</v>
      </c>
      <c r="U31" s="220">
        <v>0</v>
      </c>
      <c r="V31" s="220">
        <v>0</v>
      </c>
      <c r="W31" s="220">
        <v>0</v>
      </c>
      <c r="X31" s="220">
        <v>0</v>
      </c>
      <c r="Y31" s="220">
        <v>0</v>
      </c>
      <c r="Z31" s="220">
        <v>0</v>
      </c>
      <c r="AA31" s="220">
        <v>0</v>
      </c>
      <c r="AB31" s="220">
        <v>0</v>
      </c>
      <c r="AC31" s="220">
        <v>0</v>
      </c>
      <c r="AD31" s="220">
        <v>0</v>
      </c>
      <c r="AE31" s="220">
        <v>0</v>
      </c>
      <c r="AF31" s="220">
        <v>0</v>
      </c>
      <c r="AG31" s="220">
        <v>0</v>
      </c>
      <c r="AH31" s="220">
        <v>0</v>
      </c>
      <c r="AI31" s="220">
        <v>0</v>
      </c>
      <c r="AJ31" s="220">
        <v>0</v>
      </c>
      <c r="AK31" s="220">
        <v>0</v>
      </c>
      <c r="AL31" s="220">
        <v>0</v>
      </c>
      <c r="AM31" s="220">
        <v>0</v>
      </c>
      <c r="AN31" s="220">
        <v>0</v>
      </c>
    </row>
    <row r="32" spans="2:40" ht="14.25" x14ac:dyDescent="0.2">
      <c r="B32" s="214">
        <v>17</v>
      </c>
      <c r="C32" s="215" t="s">
        <v>442</v>
      </c>
      <c r="D32" s="217" t="s">
        <v>433</v>
      </c>
      <c r="E32" s="220">
        <f>E21+E31</f>
        <v>0</v>
      </c>
      <c r="F32" s="220">
        <f t="shared" ref="F32:AN32" si="3">F21+F31</f>
        <v>0</v>
      </c>
      <c r="G32" s="220">
        <f t="shared" si="3"/>
        <v>1.3651257000000001</v>
      </c>
      <c r="H32" s="220">
        <f t="shared" si="3"/>
        <v>0</v>
      </c>
      <c r="I32" s="220">
        <f t="shared" si="3"/>
        <v>0.33542759999999999</v>
      </c>
      <c r="J32" s="220">
        <f t="shared" si="3"/>
        <v>0</v>
      </c>
      <c r="K32" s="220">
        <f t="shared" si="3"/>
        <v>1.2871465</v>
      </c>
      <c r="L32" s="220">
        <f t="shared" si="3"/>
        <v>0</v>
      </c>
      <c r="M32" s="220">
        <f t="shared" si="3"/>
        <v>1.801955</v>
      </c>
      <c r="N32" s="220">
        <f t="shared" si="3"/>
        <v>0.78145039999999999</v>
      </c>
      <c r="O32" s="220">
        <f t="shared" si="3"/>
        <v>0.82483450000000003</v>
      </c>
      <c r="P32" s="220">
        <f t="shared" si="3"/>
        <v>0</v>
      </c>
      <c r="Q32" s="220">
        <f t="shared" si="3"/>
        <v>0.63590990000000003</v>
      </c>
      <c r="R32" s="220">
        <f t="shared" si="3"/>
        <v>0.37490620000000002</v>
      </c>
      <c r="S32" s="220">
        <f t="shared" si="3"/>
        <v>0.66417780000000004</v>
      </c>
      <c r="T32" s="220">
        <f t="shared" si="3"/>
        <v>0</v>
      </c>
      <c r="U32" s="220">
        <f t="shared" si="3"/>
        <v>0</v>
      </c>
      <c r="V32" s="220">
        <f t="shared" si="3"/>
        <v>0</v>
      </c>
      <c r="W32" s="220">
        <f t="shared" si="3"/>
        <v>1.2706875</v>
      </c>
      <c r="X32" s="220">
        <f t="shared" si="3"/>
        <v>1.5812809000000001</v>
      </c>
      <c r="Y32" s="220">
        <f t="shared" si="3"/>
        <v>0</v>
      </c>
      <c r="Z32" s="220">
        <f t="shared" si="3"/>
        <v>0.41509180000000001</v>
      </c>
      <c r="AA32" s="220">
        <f t="shared" si="3"/>
        <v>0</v>
      </c>
      <c r="AB32" s="220">
        <f t="shared" si="3"/>
        <v>0</v>
      </c>
      <c r="AC32" s="220">
        <f t="shared" si="3"/>
        <v>0</v>
      </c>
      <c r="AD32" s="220">
        <f t="shared" si="3"/>
        <v>0</v>
      </c>
      <c r="AE32" s="220">
        <f t="shared" si="3"/>
        <v>1.214291</v>
      </c>
      <c r="AF32" s="220">
        <f t="shared" si="3"/>
        <v>0.34514260000000002</v>
      </c>
      <c r="AG32" s="220">
        <f t="shared" si="3"/>
        <v>0.6699157</v>
      </c>
      <c r="AH32" s="220">
        <f t="shared" si="3"/>
        <v>0.35133239999999999</v>
      </c>
      <c r="AI32" s="220">
        <f t="shared" si="3"/>
        <v>0.30675330000000001</v>
      </c>
      <c r="AJ32" s="220">
        <f t="shared" si="3"/>
        <v>0.41043560000000001</v>
      </c>
      <c r="AK32" s="220">
        <f t="shared" si="3"/>
        <v>0.95322150000000005</v>
      </c>
      <c r="AL32" s="220">
        <f t="shared" si="3"/>
        <v>0</v>
      </c>
      <c r="AM32" s="220">
        <f t="shared" si="3"/>
        <v>2.4687152999999999</v>
      </c>
      <c r="AN32" s="220">
        <f t="shared" si="3"/>
        <v>0.76620279999999996</v>
      </c>
    </row>
    <row r="33" spans="2:40" ht="15" x14ac:dyDescent="0.2">
      <c r="B33" s="210" t="s">
        <v>325</v>
      </c>
      <c r="C33" s="213" t="s">
        <v>189</v>
      </c>
      <c r="D33" s="217"/>
      <c r="E33" s="218"/>
      <c r="F33" s="218"/>
      <c r="G33" s="218"/>
      <c r="H33" s="218"/>
      <c r="I33" s="218"/>
      <c r="J33" s="218"/>
      <c r="K33" s="218"/>
      <c r="L33" s="218"/>
      <c r="M33" s="218"/>
      <c r="N33" s="218"/>
      <c r="O33" s="218"/>
      <c r="P33" s="218"/>
      <c r="Q33" s="218"/>
      <c r="R33" s="218"/>
      <c r="S33" s="218"/>
      <c r="T33" s="218"/>
      <c r="U33" s="218"/>
      <c r="V33" s="218"/>
      <c r="W33" s="184"/>
      <c r="X33" s="184"/>
      <c r="Y33" s="184"/>
      <c r="Z33" s="184"/>
      <c r="AA33" s="184"/>
      <c r="AB33" s="184"/>
      <c r="AC33" s="184"/>
      <c r="AD33" s="184"/>
      <c r="AE33" s="184"/>
      <c r="AF33" s="184"/>
      <c r="AG33" s="184"/>
      <c r="AH33" s="184"/>
      <c r="AI33" s="184"/>
      <c r="AJ33" s="184"/>
      <c r="AK33" s="184"/>
      <c r="AL33" s="184"/>
      <c r="AM33" s="184"/>
      <c r="AN33" s="184"/>
    </row>
    <row r="34" spans="2:40" ht="14.25" x14ac:dyDescent="0.2">
      <c r="B34" s="214">
        <v>18</v>
      </c>
      <c r="C34" s="215" t="s">
        <v>443</v>
      </c>
      <c r="D34" s="217" t="s">
        <v>444</v>
      </c>
      <c r="E34" s="218">
        <f>(E10+E32)/(E9+E16)*10000000</f>
        <v>62741.691508847085</v>
      </c>
      <c r="F34" s="218">
        <f t="shared" ref="F34:AN34" si="4">(F10+F32)/(F9+F16)*10000000</f>
        <v>84820.828493764653</v>
      </c>
      <c r="G34" s="218">
        <f t="shared" si="4"/>
        <v>63291.888714207598</v>
      </c>
      <c r="H34" s="218">
        <f t="shared" si="4"/>
        <v>84820.828493764653</v>
      </c>
      <c r="I34" s="218">
        <f t="shared" si="4"/>
        <v>63469.272302155441</v>
      </c>
      <c r="J34" s="218">
        <f t="shared" si="4"/>
        <v>84820.828493764653</v>
      </c>
      <c r="K34" s="218">
        <f t="shared" si="4"/>
        <v>63846.652617727334</v>
      </c>
      <c r="L34" s="218">
        <f t="shared" si="4"/>
        <v>84820.828493764653</v>
      </c>
      <c r="M34" s="218">
        <f t="shared" si="4"/>
        <v>63979.304183169406</v>
      </c>
      <c r="N34" s="218">
        <f t="shared" si="4"/>
        <v>83489.053684854982</v>
      </c>
      <c r="O34" s="218">
        <f t="shared" si="4"/>
        <v>63910.932355189172</v>
      </c>
      <c r="P34" s="218">
        <f t="shared" si="4"/>
        <v>83489.053684854982</v>
      </c>
      <c r="Q34" s="218">
        <f t="shared" si="4"/>
        <v>63934.92737533991</v>
      </c>
      <c r="R34" s="218">
        <f t="shared" si="4"/>
        <v>82305.720070816154</v>
      </c>
      <c r="S34" s="218">
        <f t="shared" si="4"/>
        <v>63895.985125551742</v>
      </c>
      <c r="T34" s="218">
        <f t="shared" si="4"/>
        <v>82305.720070816154</v>
      </c>
      <c r="U34" s="218">
        <f t="shared" si="4"/>
        <v>63895.985125551742</v>
      </c>
      <c r="V34" s="218">
        <f t="shared" si="4"/>
        <v>82305.720070816154</v>
      </c>
      <c r="W34" s="218">
        <f t="shared" si="4"/>
        <v>64093.577655600304</v>
      </c>
      <c r="X34" s="218">
        <f t="shared" si="4"/>
        <v>80799.837007087248</v>
      </c>
      <c r="Y34" s="218">
        <f t="shared" si="4"/>
        <v>64093.577655600304</v>
      </c>
      <c r="Z34" s="218">
        <f t="shared" si="4"/>
        <v>81105.851997033446</v>
      </c>
      <c r="AA34" s="218">
        <f t="shared" si="4"/>
        <v>64093.577655600304</v>
      </c>
      <c r="AB34" s="218">
        <f t="shared" si="4"/>
        <v>81105.851997033446</v>
      </c>
      <c r="AC34" s="218">
        <f t="shared" si="4"/>
        <v>64093.577655600442</v>
      </c>
      <c r="AD34" s="218">
        <f t="shared" si="4"/>
        <v>81105.851997033271</v>
      </c>
      <c r="AE34" s="218">
        <f t="shared" si="4"/>
        <v>63602.398759395204</v>
      </c>
      <c r="AF34" s="218">
        <f t="shared" si="4"/>
        <v>79437.020713762133</v>
      </c>
      <c r="AG34" s="218">
        <f t="shared" si="4"/>
        <v>63480.863855838899</v>
      </c>
      <c r="AH34" s="218">
        <f t="shared" si="4"/>
        <v>78191.747487627028</v>
      </c>
      <c r="AI34" s="218">
        <f t="shared" si="4"/>
        <v>63457.350007812005</v>
      </c>
      <c r="AJ34" s="218">
        <f t="shared" si="4"/>
        <v>78095.645914903187</v>
      </c>
      <c r="AK34" s="218">
        <f t="shared" si="4"/>
        <v>63439.11113118197</v>
      </c>
      <c r="AL34" s="218">
        <f t="shared" si="4"/>
        <v>78095.645914903187</v>
      </c>
      <c r="AM34" s="218">
        <f t="shared" si="4"/>
        <v>63076.000134937327</v>
      </c>
      <c r="AN34" s="218">
        <f t="shared" si="4"/>
        <v>78117.722542557924</v>
      </c>
    </row>
    <row r="35" spans="2:40" ht="14.25" x14ac:dyDescent="0.2">
      <c r="B35" s="214">
        <v>19</v>
      </c>
      <c r="C35" s="215" t="s">
        <v>328</v>
      </c>
      <c r="D35" s="217"/>
      <c r="E35" s="218"/>
      <c r="F35" s="218"/>
      <c r="G35" s="218"/>
      <c r="H35" s="218"/>
      <c r="I35" s="218"/>
      <c r="J35" s="218"/>
      <c r="K35" s="221"/>
      <c r="L35" s="221"/>
      <c r="M35" s="221"/>
      <c r="N35" s="221"/>
      <c r="O35" s="221"/>
      <c r="P35" s="221"/>
      <c r="Q35" s="221"/>
      <c r="R35" s="221"/>
      <c r="S35" s="221"/>
      <c r="T35" s="221"/>
      <c r="U35" s="221"/>
      <c r="V35" s="221"/>
      <c r="W35" s="184"/>
      <c r="X35" s="184"/>
      <c r="Y35" s="184"/>
      <c r="Z35" s="184"/>
      <c r="AA35" s="184"/>
      <c r="AB35" s="184"/>
      <c r="AC35" s="184"/>
      <c r="AD35" s="184"/>
      <c r="AE35" s="184"/>
      <c r="AF35" s="184"/>
      <c r="AG35" s="184"/>
      <c r="AH35" s="184"/>
      <c r="AI35" s="184"/>
      <c r="AJ35" s="184"/>
      <c r="AK35" s="184"/>
      <c r="AL35" s="184"/>
      <c r="AM35" s="184"/>
      <c r="AN35" s="184"/>
    </row>
    <row r="36" spans="2:40" ht="14.25" x14ac:dyDescent="0.2">
      <c r="B36" s="214">
        <v>20</v>
      </c>
      <c r="C36" s="215" t="s">
        <v>445</v>
      </c>
      <c r="D36" s="217" t="s">
        <v>444</v>
      </c>
      <c r="E36" s="218"/>
      <c r="F36" s="218"/>
      <c r="G36" s="218"/>
      <c r="H36" s="218"/>
      <c r="I36" s="218"/>
      <c r="J36" s="218"/>
      <c r="K36" s="218"/>
      <c r="L36" s="218"/>
      <c r="M36" s="218"/>
      <c r="N36" s="218"/>
      <c r="O36" s="218"/>
      <c r="P36" s="218"/>
      <c r="Q36" s="218"/>
      <c r="R36" s="218"/>
      <c r="S36" s="218"/>
      <c r="T36" s="218"/>
      <c r="U36" s="218"/>
      <c r="V36" s="218"/>
      <c r="W36" s="218"/>
      <c r="X36" s="218"/>
      <c r="Y36" s="218"/>
      <c r="Z36" s="218"/>
      <c r="AA36" s="218"/>
      <c r="AB36" s="218"/>
      <c r="AC36" s="218"/>
      <c r="AD36" s="218"/>
      <c r="AE36" s="218"/>
      <c r="AF36" s="218"/>
      <c r="AG36" s="218"/>
      <c r="AH36" s="218"/>
      <c r="AI36" s="218"/>
      <c r="AJ36" s="218"/>
      <c r="AK36" s="218"/>
      <c r="AL36" s="218"/>
      <c r="AM36" s="218"/>
      <c r="AN36" s="218"/>
    </row>
    <row r="37" spans="2:40" ht="15" x14ac:dyDescent="0.2">
      <c r="B37" s="210" t="s">
        <v>330</v>
      </c>
      <c r="C37" s="213" t="s">
        <v>331</v>
      </c>
      <c r="D37" s="217"/>
      <c r="E37" s="218"/>
      <c r="F37" s="218"/>
      <c r="G37" s="218"/>
      <c r="H37" s="218"/>
      <c r="I37" s="218"/>
      <c r="J37" s="218"/>
      <c r="K37" s="221"/>
      <c r="L37" s="221"/>
      <c r="M37" s="221"/>
      <c r="N37" s="221"/>
      <c r="O37" s="221"/>
      <c r="P37" s="221"/>
      <c r="Q37" s="221"/>
      <c r="R37" s="221"/>
      <c r="S37" s="221"/>
      <c r="T37" s="221"/>
      <c r="U37" s="221"/>
      <c r="V37" s="221"/>
      <c r="W37" s="184"/>
      <c r="X37" s="184"/>
      <c r="Y37" s="184"/>
      <c r="Z37" s="184"/>
      <c r="AA37" s="184"/>
      <c r="AB37" s="184"/>
      <c r="AC37" s="184"/>
      <c r="AD37" s="184"/>
      <c r="AE37" s="184"/>
      <c r="AF37" s="184"/>
      <c r="AG37" s="184"/>
      <c r="AH37" s="184"/>
      <c r="AI37" s="184"/>
      <c r="AJ37" s="184"/>
      <c r="AK37" s="184"/>
      <c r="AL37" s="184"/>
      <c r="AM37" s="184"/>
      <c r="AN37" s="184"/>
    </row>
    <row r="38" spans="2:40" ht="14.25" x14ac:dyDescent="0.2">
      <c r="B38" s="214">
        <v>21</v>
      </c>
      <c r="C38" s="215" t="s">
        <v>446</v>
      </c>
      <c r="D38" s="217" t="s">
        <v>447</v>
      </c>
      <c r="E38" s="218"/>
      <c r="F38" s="218"/>
      <c r="G38" s="218"/>
      <c r="H38" s="218"/>
      <c r="I38" s="218"/>
      <c r="J38" s="218"/>
      <c r="K38" s="221"/>
      <c r="L38" s="221"/>
      <c r="M38" s="221"/>
      <c r="N38" s="221"/>
      <c r="O38" s="221"/>
      <c r="P38" s="221"/>
      <c r="Q38" s="221"/>
      <c r="R38" s="221"/>
      <c r="S38" s="221"/>
      <c r="T38" s="221"/>
      <c r="U38" s="221"/>
      <c r="V38" s="221"/>
      <c r="W38" s="184"/>
      <c r="X38" s="184"/>
      <c r="Y38" s="184"/>
      <c r="Z38" s="184"/>
      <c r="AA38" s="184"/>
      <c r="AB38" s="184"/>
      <c r="AC38" s="184"/>
      <c r="AD38" s="184"/>
      <c r="AE38" s="184"/>
      <c r="AF38" s="184"/>
      <c r="AG38" s="184"/>
      <c r="AH38" s="184"/>
      <c r="AI38" s="184"/>
      <c r="AJ38" s="184"/>
      <c r="AK38" s="184"/>
      <c r="AL38" s="184"/>
      <c r="AM38" s="184"/>
      <c r="AN38" s="184"/>
    </row>
    <row r="39" spans="2:40" ht="14.25" x14ac:dyDescent="0.2">
      <c r="B39" s="214">
        <v>22</v>
      </c>
      <c r="C39" s="215" t="s">
        <v>448</v>
      </c>
      <c r="D39" s="217" t="s">
        <v>447</v>
      </c>
      <c r="E39" s="218"/>
      <c r="F39" s="218"/>
      <c r="G39" s="218"/>
      <c r="H39" s="218"/>
      <c r="I39" s="218"/>
      <c r="J39" s="218"/>
      <c r="K39" s="221"/>
      <c r="L39" s="221"/>
      <c r="M39" s="221"/>
      <c r="N39" s="221"/>
      <c r="O39" s="221"/>
      <c r="P39" s="221"/>
      <c r="Q39" s="221"/>
      <c r="R39" s="221"/>
      <c r="S39" s="221"/>
      <c r="T39" s="221"/>
      <c r="U39" s="221"/>
      <c r="V39" s="221"/>
      <c r="W39" s="184"/>
      <c r="X39" s="184"/>
      <c r="Y39" s="184"/>
      <c r="Z39" s="184"/>
      <c r="AA39" s="184"/>
      <c r="AB39" s="184"/>
      <c r="AC39" s="184"/>
      <c r="AD39" s="184"/>
      <c r="AE39" s="184"/>
      <c r="AF39" s="184"/>
      <c r="AG39" s="184"/>
      <c r="AH39" s="184"/>
      <c r="AI39" s="184"/>
      <c r="AJ39" s="184"/>
      <c r="AK39" s="184"/>
      <c r="AL39" s="184"/>
      <c r="AM39" s="184"/>
      <c r="AN39" s="184"/>
    </row>
    <row r="40" spans="2:40" ht="14.25" x14ac:dyDescent="0.2">
      <c r="B40" s="214">
        <v>23</v>
      </c>
      <c r="C40" s="215" t="s">
        <v>449</v>
      </c>
      <c r="D40" s="217" t="s">
        <v>447</v>
      </c>
      <c r="E40" s="218"/>
      <c r="F40" s="218"/>
      <c r="G40" s="218"/>
      <c r="H40" s="218"/>
      <c r="I40" s="218"/>
      <c r="J40" s="218"/>
      <c r="K40" s="221"/>
      <c r="L40" s="221"/>
      <c r="M40" s="221"/>
      <c r="N40" s="221"/>
      <c r="O40" s="221"/>
      <c r="P40" s="221"/>
      <c r="Q40" s="221"/>
      <c r="R40" s="221"/>
      <c r="S40" s="221"/>
      <c r="T40" s="221"/>
      <c r="U40" s="221"/>
      <c r="V40" s="221"/>
      <c r="W40" s="184"/>
      <c r="X40" s="184"/>
      <c r="Y40" s="184"/>
      <c r="Z40" s="184"/>
      <c r="AA40" s="184"/>
      <c r="AB40" s="184"/>
      <c r="AC40" s="184"/>
      <c r="AD40" s="184"/>
      <c r="AE40" s="184"/>
      <c r="AF40" s="184"/>
      <c r="AG40" s="184"/>
      <c r="AH40" s="184"/>
      <c r="AI40" s="184"/>
      <c r="AJ40" s="184"/>
      <c r="AK40" s="184"/>
      <c r="AL40" s="184"/>
      <c r="AM40" s="184"/>
      <c r="AN40" s="184"/>
    </row>
    <row r="41" spans="2:40" ht="14.25" x14ac:dyDescent="0.2">
      <c r="B41" s="214">
        <v>24</v>
      </c>
      <c r="C41" s="215" t="s">
        <v>450</v>
      </c>
      <c r="D41" s="217" t="s">
        <v>447</v>
      </c>
      <c r="E41" s="218"/>
      <c r="F41" s="218"/>
      <c r="G41" s="218"/>
      <c r="H41" s="218"/>
      <c r="I41" s="218"/>
      <c r="J41" s="218"/>
      <c r="K41" s="221"/>
      <c r="L41" s="221"/>
      <c r="M41" s="221"/>
      <c r="N41" s="221"/>
      <c r="O41" s="221"/>
      <c r="P41" s="221"/>
      <c r="Q41" s="221"/>
      <c r="R41" s="221"/>
      <c r="S41" s="221"/>
      <c r="T41" s="221"/>
      <c r="U41" s="221"/>
      <c r="V41" s="221"/>
      <c r="W41" s="184"/>
      <c r="X41" s="184"/>
      <c r="Y41" s="184"/>
      <c r="Z41" s="184"/>
      <c r="AA41" s="184"/>
      <c r="AB41" s="184"/>
      <c r="AC41" s="184"/>
      <c r="AD41" s="184"/>
      <c r="AE41" s="184"/>
      <c r="AF41" s="184"/>
      <c r="AG41" s="184"/>
      <c r="AH41" s="184"/>
      <c r="AI41" s="184"/>
      <c r="AJ41" s="184"/>
      <c r="AK41" s="184"/>
      <c r="AL41" s="184"/>
      <c r="AM41" s="184"/>
      <c r="AN41" s="184"/>
    </row>
    <row r="42" spans="2:40" ht="14.25" x14ac:dyDescent="0.2">
      <c r="B42" s="214">
        <v>25</v>
      </c>
      <c r="C42" s="215" t="s">
        <v>451</v>
      </c>
      <c r="D42" s="217" t="s">
        <v>447</v>
      </c>
      <c r="E42" s="218"/>
      <c r="F42" s="218"/>
      <c r="G42" s="218"/>
      <c r="H42" s="218"/>
      <c r="I42" s="218"/>
      <c r="J42" s="218"/>
      <c r="K42" s="221"/>
      <c r="L42" s="221"/>
      <c r="M42" s="221"/>
      <c r="N42" s="221"/>
      <c r="O42" s="221"/>
      <c r="P42" s="221"/>
      <c r="Q42" s="221"/>
      <c r="R42" s="221"/>
      <c r="S42" s="221"/>
      <c r="T42" s="221"/>
      <c r="U42" s="221"/>
      <c r="V42" s="221"/>
      <c r="W42" s="184"/>
      <c r="X42" s="184"/>
      <c r="Y42" s="184"/>
      <c r="Z42" s="184"/>
      <c r="AA42" s="184"/>
      <c r="AB42" s="184"/>
      <c r="AC42" s="184"/>
      <c r="AD42" s="184"/>
      <c r="AE42" s="184"/>
      <c r="AF42" s="184"/>
      <c r="AG42" s="184"/>
      <c r="AH42" s="184"/>
      <c r="AI42" s="184"/>
      <c r="AJ42" s="184"/>
      <c r="AK42" s="184"/>
      <c r="AL42" s="184"/>
      <c r="AM42" s="184"/>
      <c r="AN42" s="184"/>
    </row>
    <row r="43" spans="2:40" ht="14.25" x14ac:dyDescent="0.2">
      <c r="B43" s="214">
        <v>26</v>
      </c>
      <c r="C43" s="215" t="s">
        <v>452</v>
      </c>
      <c r="D43" s="217" t="s">
        <v>447</v>
      </c>
      <c r="E43" s="218"/>
      <c r="F43" s="218"/>
      <c r="G43" s="218"/>
      <c r="H43" s="218"/>
      <c r="I43" s="218"/>
      <c r="J43" s="218"/>
      <c r="K43" s="221"/>
      <c r="L43" s="221"/>
      <c r="M43" s="221"/>
      <c r="N43" s="221"/>
      <c r="O43" s="221"/>
      <c r="P43" s="221"/>
      <c r="Q43" s="221"/>
      <c r="R43" s="221"/>
      <c r="S43" s="221"/>
      <c r="T43" s="221"/>
      <c r="U43" s="221"/>
      <c r="V43" s="221"/>
      <c r="W43" s="184"/>
      <c r="X43" s="184"/>
      <c r="Y43" s="184"/>
      <c r="Z43" s="184"/>
      <c r="AA43" s="184"/>
      <c r="AB43" s="184"/>
      <c r="AC43" s="184"/>
      <c r="AD43" s="184"/>
      <c r="AE43" s="184"/>
      <c r="AF43" s="184"/>
      <c r="AG43" s="184"/>
      <c r="AH43" s="184"/>
      <c r="AI43" s="184"/>
      <c r="AJ43" s="184"/>
      <c r="AK43" s="184"/>
      <c r="AL43" s="184"/>
      <c r="AM43" s="184"/>
      <c r="AN43" s="184"/>
    </row>
    <row r="44" spans="2:40" ht="14.25" x14ac:dyDescent="0.2">
      <c r="B44" s="214">
        <v>27</v>
      </c>
      <c r="C44" s="215" t="s">
        <v>453</v>
      </c>
      <c r="D44" s="217" t="s">
        <v>447</v>
      </c>
      <c r="E44" s="218"/>
      <c r="F44" s="218"/>
      <c r="G44" s="218"/>
      <c r="H44" s="218"/>
      <c r="I44" s="218"/>
      <c r="J44" s="218"/>
      <c r="K44" s="221"/>
      <c r="L44" s="221"/>
      <c r="M44" s="221"/>
      <c r="N44" s="221"/>
      <c r="O44" s="221"/>
      <c r="P44" s="221"/>
      <c r="Q44" s="221"/>
      <c r="R44" s="221"/>
      <c r="S44" s="221"/>
      <c r="T44" s="221"/>
      <c r="U44" s="221"/>
      <c r="V44" s="221"/>
      <c r="W44" s="184"/>
      <c r="X44" s="184"/>
      <c r="Y44" s="184"/>
      <c r="Z44" s="184"/>
      <c r="AA44" s="184"/>
      <c r="AB44" s="184"/>
      <c r="AC44" s="184"/>
      <c r="AD44" s="184"/>
      <c r="AE44" s="184"/>
      <c r="AF44" s="184"/>
      <c r="AG44" s="184"/>
      <c r="AH44" s="184"/>
      <c r="AI44" s="184"/>
      <c r="AJ44" s="184"/>
      <c r="AK44" s="184"/>
      <c r="AL44" s="184"/>
      <c r="AM44" s="184"/>
      <c r="AN44" s="184"/>
    </row>
    <row r="45" spans="2:40" ht="14.25" x14ac:dyDescent="0.2">
      <c r="B45" s="214">
        <v>28</v>
      </c>
      <c r="C45" s="215" t="s">
        <v>454</v>
      </c>
      <c r="D45" s="217" t="s">
        <v>447</v>
      </c>
      <c r="E45" s="218"/>
      <c r="F45" s="218"/>
      <c r="G45" s="218"/>
      <c r="H45" s="218"/>
      <c r="I45" s="218"/>
      <c r="J45" s="218"/>
      <c r="K45" s="221"/>
      <c r="L45" s="221"/>
      <c r="M45" s="221"/>
      <c r="N45" s="221"/>
      <c r="O45" s="221"/>
      <c r="P45" s="221"/>
      <c r="Q45" s="221"/>
      <c r="R45" s="221"/>
      <c r="S45" s="221"/>
      <c r="T45" s="221"/>
      <c r="U45" s="221"/>
      <c r="V45" s="221"/>
      <c r="W45" s="184"/>
      <c r="X45" s="184"/>
      <c r="Y45" s="184"/>
      <c r="Z45" s="184"/>
      <c r="AA45" s="184"/>
      <c r="AB45" s="184"/>
      <c r="AC45" s="184"/>
      <c r="AD45" s="184"/>
      <c r="AE45" s="184"/>
      <c r="AF45" s="184"/>
      <c r="AG45" s="184"/>
      <c r="AH45" s="184"/>
      <c r="AI45" s="184"/>
      <c r="AJ45" s="184"/>
      <c r="AK45" s="184"/>
      <c r="AL45" s="184"/>
      <c r="AM45" s="184"/>
      <c r="AN45" s="184"/>
    </row>
    <row r="46" spans="2:40" ht="14.25" x14ac:dyDescent="0.2">
      <c r="B46" s="214">
        <v>29</v>
      </c>
      <c r="C46" s="215" t="s">
        <v>455</v>
      </c>
      <c r="D46" s="217" t="s">
        <v>447</v>
      </c>
      <c r="E46" s="218"/>
      <c r="F46" s="218"/>
      <c r="G46" s="218"/>
      <c r="H46" s="218"/>
      <c r="I46" s="218"/>
      <c r="J46" s="218"/>
      <c r="K46" s="221"/>
      <c r="L46" s="221"/>
      <c r="M46" s="221"/>
      <c r="N46" s="221"/>
      <c r="O46" s="221"/>
      <c r="P46" s="221"/>
      <c r="Q46" s="221"/>
      <c r="R46" s="221"/>
      <c r="S46" s="221"/>
      <c r="T46" s="221"/>
      <c r="U46" s="221"/>
      <c r="V46" s="221"/>
      <c r="W46" s="184"/>
      <c r="X46" s="184"/>
      <c r="Y46" s="184"/>
      <c r="Z46" s="184"/>
      <c r="AA46" s="184"/>
      <c r="AB46" s="184"/>
      <c r="AC46" s="184"/>
      <c r="AD46" s="184"/>
      <c r="AE46" s="184"/>
      <c r="AF46" s="184"/>
      <c r="AG46" s="184"/>
      <c r="AH46" s="184"/>
      <c r="AI46" s="184"/>
      <c r="AJ46" s="184"/>
      <c r="AK46" s="184"/>
      <c r="AL46" s="184"/>
      <c r="AM46" s="184"/>
      <c r="AN46" s="184"/>
    </row>
    <row r="47" spans="2:40" ht="14.25" x14ac:dyDescent="0.2">
      <c r="B47" s="214">
        <v>30</v>
      </c>
      <c r="C47" s="215" t="s">
        <v>456</v>
      </c>
      <c r="D47" s="217" t="s">
        <v>447</v>
      </c>
      <c r="E47" s="324"/>
      <c r="F47" s="325"/>
      <c r="G47" s="325"/>
      <c r="H47" s="325"/>
      <c r="I47" s="325"/>
      <c r="J47" s="325"/>
      <c r="K47" s="325"/>
      <c r="L47" s="325"/>
      <c r="M47" s="325"/>
      <c r="N47" s="325"/>
      <c r="O47" s="325"/>
      <c r="P47" s="325"/>
      <c r="Q47" s="325"/>
      <c r="R47" s="325"/>
      <c r="S47" s="325"/>
      <c r="T47" s="325"/>
      <c r="U47" s="325"/>
      <c r="V47" s="325"/>
      <c r="W47" s="325"/>
      <c r="X47" s="325"/>
      <c r="Y47" s="325"/>
      <c r="Z47" s="325"/>
      <c r="AA47" s="325"/>
      <c r="AB47" s="325"/>
      <c r="AC47" s="325"/>
      <c r="AD47" s="325"/>
      <c r="AE47" s="325"/>
      <c r="AF47" s="325"/>
      <c r="AG47" s="325"/>
      <c r="AH47" s="325"/>
      <c r="AI47" s="325"/>
      <c r="AJ47" s="325"/>
      <c r="AK47" s="325"/>
      <c r="AL47" s="325"/>
      <c r="AM47" s="325"/>
      <c r="AN47" s="325"/>
    </row>
    <row r="49" spans="2:40" ht="15" x14ac:dyDescent="0.2">
      <c r="B49" s="222" t="s">
        <v>242</v>
      </c>
    </row>
    <row r="50" spans="2:40" ht="14.25" x14ac:dyDescent="0.2">
      <c r="B50" s="214"/>
      <c r="C50" s="215" t="s">
        <v>18</v>
      </c>
      <c r="D50" s="184"/>
      <c r="E50" s="184"/>
      <c r="F50" s="184"/>
      <c r="G50" s="184"/>
      <c r="H50" s="184"/>
      <c r="I50" s="184"/>
      <c r="J50" s="184"/>
      <c r="K50" s="184"/>
      <c r="L50" s="184"/>
      <c r="M50" s="184"/>
      <c r="N50" s="184"/>
      <c r="O50" s="184"/>
      <c r="P50" s="184"/>
      <c r="Q50" s="184"/>
      <c r="R50" s="184"/>
      <c r="S50" s="184"/>
      <c r="T50" s="184"/>
      <c r="U50" s="184"/>
      <c r="V50" s="184"/>
      <c r="W50" s="184"/>
      <c r="X50" s="184"/>
      <c r="Y50" s="184"/>
      <c r="Z50" s="184"/>
      <c r="AA50" s="184"/>
      <c r="AB50" s="184"/>
      <c r="AC50" s="184"/>
      <c r="AD50" s="184"/>
      <c r="AE50" s="184"/>
      <c r="AF50" s="184"/>
      <c r="AG50" s="184"/>
      <c r="AH50" s="184"/>
      <c r="AI50" s="184"/>
      <c r="AJ50" s="184"/>
      <c r="AK50" s="184"/>
      <c r="AL50" s="184"/>
      <c r="AM50" s="184"/>
      <c r="AN50" s="184"/>
    </row>
    <row r="51" spans="2:40" ht="14.25" x14ac:dyDescent="0.2">
      <c r="B51" s="214">
        <v>1</v>
      </c>
      <c r="C51" s="215" t="s">
        <v>482</v>
      </c>
      <c r="D51" s="184" t="s">
        <v>432</v>
      </c>
      <c r="E51" s="223">
        <v>157.09699999999998</v>
      </c>
      <c r="F51" s="223">
        <v>7.0010000000000003</v>
      </c>
      <c r="G51" s="223">
        <v>62.158000000000001</v>
      </c>
      <c r="H51" s="223">
        <v>0</v>
      </c>
      <c r="I51" s="223">
        <v>193.977</v>
      </c>
      <c r="J51" s="223">
        <v>9.5459999999999994</v>
      </c>
      <c r="K51" s="223">
        <v>75.430999999999997</v>
      </c>
      <c r="L51" s="223">
        <v>42.003999999999998</v>
      </c>
      <c r="M51" s="223">
        <v>350.20499999999998</v>
      </c>
      <c r="N51" s="223">
        <v>120.35499999999999</v>
      </c>
      <c r="O51" s="223">
        <v>61.256999999999998</v>
      </c>
      <c r="P51" s="223">
        <v>7.74</v>
      </c>
      <c r="Q51" s="223">
        <v>62.398000000000003</v>
      </c>
      <c r="R51" s="223">
        <v>21.638000000000002</v>
      </c>
      <c r="S51" s="223">
        <v>69.126000000000005</v>
      </c>
      <c r="T51" s="223">
        <v>0</v>
      </c>
      <c r="U51" s="223">
        <v>7.7960000000000003</v>
      </c>
      <c r="V51" s="223">
        <v>0</v>
      </c>
      <c r="W51" s="223">
        <v>217.608</v>
      </c>
      <c r="X51" s="223">
        <v>227.36099999999999</v>
      </c>
      <c r="Y51" s="223">
        <v>53.411999999999999</v>
      </c>
      <c r="Z51" s="223">
        <v>0</v>
      </c>
      <c r="AA51" s="223">
        <v>117.23699999999999</v>
      </c>
      <c r="AB51" s="223">
        <v>6.0860000000000003</v>
      </c>
      <c r="AC51" s="223">
        <v>69.138999999999996</v>
      </c>
      <c r="AD51" s="223">
        <v>44.55</v>
      </c>
      <c r="AE51" s="223">
        <v>265.95699999999999</v>
      </c>
      <c r="AF51" s="223">
        <v>43.635999999999996</v>
      </c>
      <c r="AG51" s="223">
        <v>15.469000000000001</v>
      </c>
      <c r="AH51" s="223">
        <v>7</v>
      </c>
      <c r="AI51" s="223">
        <v>69.268000000000001</v>
      </c>
      <c r="AJ51" s="223">
        <v>58.274000000000001</v>
      </c>
      <c r="AK51" s="223">
        <v>114.673</v>
      </c>
      <c r="AL51" s="223">
        <v>61.91</v>
      </c>
      <c r="AM51" s="223">
        <v>78.568000000000012</v>
      </c>
      <c r="AN51" s="223">
        <v>11.456</v>
      </c>
    </row>
    <row r="52" spans="2:40" ht="14.25" x14ac:dyDescent="0.2">
      <c r="B52" s="214">
        <v>2</v>
      </c>
      <c r="C52" s="215" t="s">
        <v>483</v>
      </c>
      <c r="D52" s="184" t="s">
        <v>433</v>
      </c>
      <c r="E52" s="223">
        <v>0.98565315109653495</v>
      </c>
      <c r="F52" s="223">
        <v>5.9383062028484639E-2</v>
      </c>
      <c r="G52" s="223">
        <v>0.39340972186977158</v>
      </c>
      <c r="H52" s="223">
        <v>0</v>
      </c>
      <c r="I52" s="223">
        <v>1.2311579033355207</v>
      </c>
      <c r="J52" s="223">
        <v>8.0969962880147739E-2</v>
      </c>
      <c r="K52" s="223">
        <v>0.48160168536077907</v>
      </c>
      <c r="L52" s="223">
        <v>0.35628140800520902</v>
      </c>
      <c r="M52" s="223">
        <v>2.2405872221466838</v>
      </c>
      <c r="N52" s="223">
        <v>1.0048325056240721</v>
      </c>
      <c r="O52" s="223">
        <v>0.39149919832818231</v>
      </c>
      <c r="P52" s="223">
        <v>6.4620527552077756E-2</v>
      </c>
      <c r="Q52" s="223">
        <v>0.39894115983664596</v>
      </c>
      <c r="R52" s="223">
        <v>0.17809311708923201</v>
      </c>
      <c r="S52" s="223">
        <v>0.44168738677888902</v>
      </c>
      <c r="T52" s="223">
        <v>0</v>
      </c>
      <c r="U52" s="223">
        <v>4.9813310003880139E-2</v>
      </c>
      <c r="V52" s="223">
        <v>0</v>
      </c>
      <c r="W52" s="223">
        <v>1.3947275246479871</v>
      </c>
      <c r="X52" s="223">
        <v>1.8370731741768365</v>
      </c>
      <c r="Y52" s="223">
        <v>0.34233661697409234</v>
      </c>
      <c r="Z52" s="223">
        <v>0</v>
      </c>
      <c r="AA52" s="223">
        <v>0.75141387636096124</v>
      </c>
      <c r="AB52" s="223">
        <v>4.9361021525394552E-2</v>
      </c>
      <c r="AC52" s="223">
        <v>0.44313658655305588</v>
      </c>
      <c r="AD52" s="223">
        <v>0.3613265706467832</v>
      </c>
      <c r="AE52" s="223">
        <v>1.691550316685247</v>
      </c>
      <c r="AF52" s="223">
        <v>0.34663138358657242</v>
      </c>
      <c r="AG52" s="223">
        <v>9.8198548298597199E-2</v>
      </c>
      <c r="AH52" s="223">
        <v>5.4734223241338927E-2</v>
      </c>
      <c r="AI52" s="223">
        <v>0.43955637203411219</v>
      </c>
      <c r="AJ52" s="223">
        <v>0.45509456700450684</v>
      </c>
      <c r="AK52" s="223">
        <v>0.72747531907460294</v>
      </c>
      <c r="AL52" s="223">
        <v>0.48349014385916561</v>
      </c>
      <c r="AM52" s="223">
        <v>0.49557551786017567</v>
      </c>
      <c r="AN52" s="223">
        <v>8.9491662944754358E-2</v>
      </c>
    </row>
    <row r="53" spans="2:40" ht="14.25" x14ac:dyDescent="0.2">
      <c r="B53" s="214">
        <v>3</v>
      </c>
      <c r="C53" s="215" t="s">
        <v>484</v>
      </c>
      <c r="D53" s="184" t="s">
        <v>444</v>
      </c>
      <c r="E53" s="322">
        <v>63683.665439250908</v>
      </c>
      <c r="F53" s="323"/>
      <c r="G53" s="322">
        <v>63291.888714207598</v>
      </c>
      <c r="H53" s="323"/>
      <c r="I53" s="322">
        <v>64470.741204466744</v>
      </c>
      <c r="J53" s="323"/>
      <c r="K53" s="322">
        <v>71348.668911822548</v>
      </c>
      <c r="L53" s="323"/>
      <c r="M53" s="322">
        <v>68969.307373570977</v>
      </c>
      <c r="N53" s="323"/>
      <c r="O53" s="322">
        <v>66107.182323906847</v>
      </c>
      <c r="P53" s="323"/>
      <c r="Q53" s="322">
        <v>68665.12886451972</v>
      </c>
      <c r="R53" s="323"/>
      <c r="S53" s="322">
        <v>63895.985125551742</v>
      </c>
      <c r="T53" s="323"/>
      <c r="U53" s="322">
        <v>63895.985125551742</v>
      </c>
      <c r="V53" s="323"/>
      <c r="W53" s="322">
        <v>72629.794408707647</v>
      </c>
      <c r="X53" s="323"/>
      <c r="Y53" s="322">
        <v>64093.577655600304</v>
      </c>
      <c r="Z53" s="323"/>
      <c r="AA53" s="322">
        <v>64933.134766941759</v>
      </c>
      <c r="AB53" s="323"/>
      <c r="AC53" s="322">
        <v>70759.98181001145</v>
      </c>
      <c r="AD53" s="323"/>
      <c r="AE53" s="322">
        <v>65834.230756891135</v>
      </c>
      <c r="AF53" s="323"/>
      <c r="AG53" s="322">
        <v>68063.897610012064</v>
      </c>
      <c r="AH53" s="323"/>
      <c r="AI53" s="322">
        <v>70145.594317057825</v>
      </c>
      <c r="AJ53" s="323"/>
      <c r="AK53" s="322">
        <v>68577.692242954785</v>
      </c>
      <c r="AL53" s="323"/>
      <c r="AM53" s="322">
        <v>64990.133831526029</v>
      </c>
      <c r="AN53" s="323"/>
    </row>
  </sheetData>
  <mergeCells count="43">
    <mergeCell ref="B6:B7"/>
    <mergeCell ref="C6:C7"/>
    <mergeCell ref="B2:V2"/>
    <mergeCell ref="B3:V3"/>
    <mergeCell ref="B4:V4"/>
    <mergeCell ref="D6:D7"/>
    <mergeCell ref="E6:F6"/>
    <mergeCell ref="G6:H6"/>
    <mergeCell ref="I6:J6"/>
    <mergeCell ref="K6:L6"/>
    <mergeCell ref="M6:N6"/>
    <mergeCell ref="O6:P6"/>
    <mergeCell ref="Q6:R6"/>
    <mergeCell ref="S6:T6"/>
    <mergeCell ref="AI6:AJ6"/>
    <mergeCell ref="AK6:AL6"/>
    <mergeCell ref="AM6:AN6"/>
    <mergeCell ref="U6:V6"/>
    <mergeCell ref="W6:X6"/>
    <mergeCell ref="Y6:Z6"/>
    <mergeCell ref="AA6:AB6"/>
    <mergeCell ref="AC6:AD6"/>
    <mergeCell ref="AC53:AD53"/>
    <mergeCell ref="AE53:AF53"/>
    <mergeCell ref="AG53:AH53"/>
    <mergeCell ref="AE6:AF6"/>
    <mergeCell ref="AG6:AH6"/>
    <mergeCell ref="AI53:AJ53"/>
    <mergeCell ref="AK53:AL53"/>
    <mergeCell ref="AM53:AN53"/>
    <mergeCell ref="E47:AN47"/>
    <mergeCell ref="E53:F53"/>
    <mergeCell ref="G53:H53"/>
    <mergeCell ref="I53:J53"/>
    <mergeCell ref="K53:L53"/>
    <mergeCell ref="M53:N53"/>
    <mergeCell ref="O53:P53"/>
    <mergeCell ref="Q53:R53"/>
    <mergeCell ref="S53:T53"/>
    <mergeCell ref="U53:V53"/>
    <mergeCell ref="W53:X53"/>
    <mergeCell ref="Y53:Z53"/>
    <mergeCell ref="AA53:AB53"/>
  </mergeCells>
  <pageMargins left="0.25" right="0.2" top="0.25" bottom="0.25" header="0.3" footer="0.3"/>
  <pageSetup paperSize="9" scale="74" fitToWidth="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22"/>
  <sheetViews>
    <sheetView showGridLines="0" topLeftCell="F1" zoomScale="93" zoomScaleNormal="93" zoomScaleSheetLayoutView="91" workbookViewId="0">
      <selection activeCell="F23" sqref="F23"/>
    </sheetView>
  </sheetViews>
  <sheetFormatPr defaultColWidth="9.28515625" defaultRowHeight="14.25" x14ac:dyDescent="0.2"/>
  <cols>
    <col min="1" max="1" width="3" style="13" customWidth="1"/>
    <col min="2" max="2" width="5.7109375" style="13" customWidth="1"/>
    <col min="3" max="3" width="37" style="13" customWidth="1"/>
    <col min="4" max="5" width="11.5703125" style="13" customWidth="1"/>
    <col min="6" max="6" width="12.7109375" style="13" customWidth="1"/>
    <col min="7" max="7" width="11" style="13" customWidth="1"/>
    <col min="8" max="8" width="12.140625" style="13" customWidth="1"/>
    <col min="9" max="9" width="13.42578125" style="13" customWidth="1"/>
    <col min="10" max="10" width="11.140625" style="13" customWidth="1"/>
    <col min="11" max="11" width="11.5703125" style="13" customWidth="1"/>
    <col min="12" max="12" width="13.5703125" style="13" customWidth="1"/>
    <col min="13" max="13" width="10.5703125" style="13" customWidth="1"/>
    <col min="14" max="16384" width="9.28515625" style="13"/>
  </cols>
  <sheetData>
    <row r="2" spans="2:13" ht="15" x14ac:dyDescent="0.2">
      <c r="C2" s="5"/>
      <c r="D2" s="5"/>
      <c r="E2" s="5"/>
      <c r="F2" s="32" t="s">
        <v>403</v>
      </c>
      <c r="G2" s="5"/>
      <c r="H2" s="5"/>
      <c r="I2" s="5"/>
      <c r="J2" s="5"/>
      <c r="K2" s="5"/>
      <c r="L2" s="5"/>
      <c r="M2" s="5"/>
    </row>
    <row r="3" spans="2:13" ht="15" x14ac:dyDescent="0.2">
      <c r="C3" s="5"/>
      <c r="D3" s="5"/>
      <c r="E3" s="5"/>
      <c r="F3" s="32" t="s">
        <v>467</v>
      </c>
      <c r="G3" s="5"/>
      <c r="H3" s="5"/>
      <c r="I3" s="5"/>
      <c r="J3" s="5"/>
      <c r="K3" s="5"/>
      <c r="L3" s="5"/>
      <c r="M3" s="5"/>
    </row>
    <row r="4" spans="2:13" s="4" customFormat="1" ht="15.75" x14ac:dyDescent="0.2">
      <c r="C4" s="5"/>
      <c r="D4" s="5"/>
      <c r="F4" s="68" t="s">
        <v>408</v>
      </c>
      <c r="G4" s="5"/>
      <c r="H4" s="5"/>
      <c r="I4" s="5"/>
      <c r="J4" s="5"/>
      <c r="K4" s="5"/>
      <c r="L4" s="5"/>
      <c r="M4" s="5"/>
    </row>
    <row r="6" spans="2:13" ht="12.75" customHeight="1" x14ac:dyDescent="0.2">
      <c r="B6" s="279" t="s">
        <v>193</v>
      </c>
      <c r="C6" s="282" t="s">
        <v>18</v>
      </c>
      <c r="D6" s="276" t="s">
        <v>39</v>
      </c>
      <c r="E6" s="282" t="s">
        <v>1</v>
      </c>
      <c r="F6" s="286" t="s">
        <v>405</v>
      </c>
      <c r="G6" s="287"/>
      <c r="H6" s="288"/>
      <c r="I6" s="286" t="s">
        <v>406</v>
      </c>
      <c r="J6" s="288"/>
      <c r="K6" s="286" t="s">
        <v>466</v>
      </c>
      <c r="L6" s="288"/>
      <c r="M6" s="284" t="s">
        <v>11</v>
      </c>
    </row>
    <row r="7" spans="2:13" ht="60" customHeight="1" x14ac:dyDescent="0.2">
      <c r="B7" s="280"/>
      <c r="C7" s="282"/>
      <c r="D7" s="277"/>
      <c r="E7" s="282"/>
      <c r="F7" s="15" t="s">
        <v>370</v>
      </c>
      <c r="G7" s="15" t="s">
        <v>230</v>
      </c>
      <c r="H7" s="15" t="s">
        <v>465</v>
      </c>
      <c r="I7" s="15" t="s">
        <v>370</v>
      </c>
      <c r="J7" s="15" t="s">
        <v>232</v>
      </c>
      <c r="K7" s="15" t="s">
        <v>370</v>
      </c>
      <c r="L7" s="15" t="s">
        <v>232</v>
      </c>
      <c r="M7" s="284"/>
    </row>
    <row r="8" spans="2:13" ht="30" x14ac:dyDescent="0.2">
      <c r="B8" s="281"/>
      <c r="C8" s="283"/>
      <c r="D8" s="278"/>
      <c r="E8" s="283"/>
      <c r="F8" s="15" t="s">
        <v>10</v>
      </c>
      <c r="G8" s="15" t="s">
        <v>12</v>
      </c>
      <c r="H8" s="15" t="s">
        <v>231</v>
      </c>
      <c r="I8" s="15" t="s">
        <v>10</v>
      </c>
      <c r="J8" s="15" t="s">
        <v>463</v>
      </c>
      <c r="K8" s="15" t="s">
        <v>10</v>
      </c>
      <c r="L8" s="15" t="s">
        <v>463</v>
      </c>
      <c r="M8" s="285"/>
    </row>
    <row r="9" spans="2:13" ht="15" x14ac:dyDescent="0.2">
      <c r="B9" s="22" t="s">
        <v>67</v>
      </c>
      <c r="C9" s="23" t="s">
        <v>235</v>
      </c>
      <c r="D9" s="20"/>
      <c r="E9" s="20"/>
      <c r="F9" s="15"/>
      <c r="G9" s="15"/>
      <c r="H9" s="15"/>
      <c r="I9" s="15"/>
      <c r="J9" s="15"/>
      <c r="K9" s="15"/>
      <c r="L9" s="15"/>
      <c r="M9" s="21"/>
    </row>
    <row r="10" spans="2:13" ht="15" x14ac:dyDescent="0.2">
      <c r="B10" s="2">
        <v>1</v>
      </c>
      <c r="C10" s="3" t="s">
        <v>36</v>
      </c>
      <c r="D10" s="2" t="s">
        <v>205</v>
      </c>
      <c r="E10" s="17" t="s">
        <v>266</v>
      </c>
      <c r="F10" s="172">
        <f>'F2'!E14</f>
        <v>204.77</v>
      </c>
      <c r="G10" s="172">
        <f>'F2'!F14</f>
        <v>281.14</v>
      </c>
      <c r="H10" s="172">
        <f>'F2'!G14</f>
        <v>281.14</v>
      </c>
      <c r="I10" s="172">
        <f>'F2'!H14</f>
        <v>216.29</v>
      </c>
      <c r="J10" s="172">
        <f>'F2'!I14</f>
        <v>296</v>
      </c>
      <c r="K10" s="172">
        <f>'F2'!J14</f>
        <v>228.47</v>
      </c>
      <c r="L10" s="172">
        <f>'F2'!K14</f>
        <v>308.99</v>
      </c>
      <c r="M10" s="127"/>
    </row>
    <row r="11" spans="2:13" ht="15" x14ac:dyDescent="0.2">
      <c r="B11" s="2">
        <f t="shared" ref="B11:B16" si="0">B10+1</f>
        <v>2</v>
      </c>
      <c r="C11" s="18" t="s">
        <v>167</v>
      </c>
      <c r="D11" s="2" t="s">
        <v>205</v>
      </c>
      <c r="E11" s="17" t="s">
        <v>23</v>
      </c>
      <c r="F11" s="173">
        <v>127.75</v>
      </c>
      <c r="G11" s="173">
        <f>H11</f>
        <v>113.12</v>
      </c>
      <c r="H11" s="172">
        <f>'F4'!K19</f>
        <v>113.12</v>
      </c>
      <c r="I11" s="174">
        <v>127.75</v>
      </c>
      <c r="J11" s="172">
        <f>'F4'!K33</f>
        <v>113.37</v>
      </c>
      <c r="K11" s="174">
        <v>127.75</v>
      </c>
      <c r="L11" s="172">
        <f>'F4'!K47</f>
        <v>116.31</v>
      </c>
      <c r="M11" s="127"/>
    </row>
    <row r="12" spans="2:13" ht="15" x14ac:dyDescent="0.2">
      <c r="B12" s="2">
        <f t="shared" si="0"/>
        <v>3</v>
      </c>
      <c r="C12" s="3" t="s">
        <v>233</v>
      </c>
      <c r="D12" s="2" t="s">
        <v>205</v>
      </c>
      <c r="E12" s="16" t="s">
        <v>29</v>
      </c>
      <c r="F12" s="172">
        <f>'F5'!D21</f>
        <v>96.93</v>
      </c>
      <c r="G12" s="172">
        <f>'F5'!E21</f>
        <v>114.23</v>
      </c>
      <c r="H12" s="172">
        <f>'F5'!F21</f>
        <v>114.23</v>
      </c>
      <c r="I12" s="172">
        <f>'F5'!G21</f>
        <v>83.78</v>
      </c>
      <c r="J12" s="172">
        <f>'F5'!H21</f>
        <v>103.24</v>
      </c>
      <c r="K12" s="172">
        <f>'F5'!I21</f>
        <v>70.62</v>
      </c>
      <c r="L12" s="172">
        <f>'F5'!J21</f>
        <v>95.21</v>
      </c>
      <c r="M12" s="127"/>
    </row>
    <row r="13" spans="2:13" ht="15" x14ac:dyDescent="0.2">
      <c r="B13" s="2">
        <f t="shared" si="0"/>
        <v>4</v>
      </c>
      <c r="C13" s="18" t="s">
        <v>37</v>
      </c>
      <c r="D13" s="2" t="s">
        <v>205</v>
      </c>
      <c r="E13" s="16" t="s">
        <v>30</v>
      </c>
      <c r="F13" s="172">
        <f>'F6'!D19</f>
        <v>37.36</v>
      </c>
      <c r="G13" s="172">
        <f ca="1">'F6'!E19</f>
        <v>45.72</v>
      </c>
      <c r="H13" s="172">
        <f ca="1">'F6'!F19</f>
        <v>45.72</v>
      </c>
      <c r="I13" s="172">
        <f>'F6'!G19</f>
        <v>38.19</v>
      </c>
      <c r="J13" s="172">
        <f ca="1">'F6'!H19</f>
        <v>39.14</v>
      </c>
      <c r="K13" s="172">
        <f>'F6'!I19</f>
        <v>38.270000000000003</v>
      </c>
      <c r="L13" s="172">
        <f ca="1">'F6'!J19</f>
        <v>37.46</v>
      </c>
      <c r="M13" s="127"/>
    </row>
    <row r="14" spans="2:13" ht="15" x14ac:dyDescent="0.2">
      <c r="B14" s="2">
        <f t="shared" si="0"/>
        <v>5</v>
      </c>
      <c r="C14" s="3" t="s">
        <v>234</v>
      </c>
      <c r="D14" s="2" t="s">
        <v>205</v>
      </c>
      <c r="E14" s="16" t="s">
        <v>31</v>
      </c>
      <c r="F14" s="172">
        <f>'F7'!D21</f>
        <v>174.77</v>
      </c>
      <c r="G14" s="172">
        <f>'F7'!E21</f>
        <v>234.32</v>
      </c>
      <c r="H14" s="172">
        <f>'F7'!F21</f>
        <v>234.32</v>
      </c>
      <c r="I14" s="172">
        <f>'F7'!G21</f>
        <v>235.56</v>
      </c>
      <c r="J14" s="172">
        <f>'F7'!H21</f>
        <v>234.55</v>
      </c>
      <c r="K14" s="172">
        <f>'F7'!I21</f>
        <v>235.56</v>
      </c>
      <c r="L14" s="172">
        <f>'F7'!J21</f>
        <v>237.1</v>
      </c>
      <c r="M14" s="127"/>
    </row>
    <row r="15" spans="2:13" ht="15" x14ac:dyDescent="0.2">
      <c r="B15" s="2">
        <f t="shared" si="0"/>
        <v>6</v>
      </c>
      <c r="C15" s="3" t="s">
        <v>38</v>
      </c>
      <c r="D15" s="2" t="s">
        <v>205</v>
      </c>
      <c r="E15" s="16" t="s">
        <v>32</v>
      </c>
      <c r="F15" s="172">
        <f>'F8'!D29</f>
        <v>29.9</v>
      </c>
      <c r="G15" s="172">
        <f>'F8'!E29</f>
        <v>11.89</v>
      </c>
      <c r="H15" s="172">
        <f>G15</f>
        <v>11.89</v>
      </c>
      <c r="I15" s="172">
        <f>'F8'!G29</f>
        <v>31.09</v>
      </c>
      <c r="J15" s="172">
        <f>'F8'!H29</f>
        <v>12.38</v>
      </c>
      <c r="K15" s="172">
        <f>'F8'!I29</f>
        <v>32.33</v>
      </c>
      <c r="L15" s="172">
        <f>'F8'!J29</f>
        <v>12.87</v>
      </c>
      <c r="M15" s="127"/>
    </row>
    <row r="16" spans="2:13" ht="15" x14ac:dyDescent="0.2">
      <c r="B16" s="14">
        <f t="shared" si="0"/>
        <v>7</v>
      </c>
      <c r="C16" s="19" t="s">
        <v>235</v>
      </c>
      <c r="D16" s="14" t="s">
        <v>205</v>
      </c>
      <c r="E16" s="16"/>
      <c r="F16" s="172">
        <f>SUM(F10:F14)-F15</f>
        <v>611.68000000000006</v>
      </c>
      <c r="G16" s="172">
        <f ca="1">SUM(G10:G14)-G15</f>
        <v>776.64</v>
      </c>
      <c r="H16" s="172">
        <f t="shared" ref="H16:J16" ca="1" si="1">SUM(H10:H14)-H15</f>
        <v>776.64</v>
      </c>
      <c r="I16" s="172">
        <f t="shared" si="1"/>
        <v>670.4799999999999</v>
      </c>
      <c r="J16" s="172">
        <f t="shared" ca="1" si="1"/>
        <v>773.92</v>
      </c>
      <c r="K16" s="172">
        <f>SUM(K10:K14)-K15</f>
        <v>668.34</v>
      </c>
      <c r="L16" s="172">
        <f t="shared" ref="L16" ca="1" si="2">SUM(L10:L14)-L15</f>
        <v>782.2</v>
      </c>
      <c r="M16" s="127"/>
    </row>
    <row r="17" spans="2:13" ht="15" x14ac:dyDescent="0.2">
      <c r="B17" s="14" t="s">
        <v>71</v>
      </c>
      <c r="C17" s="14" t="s">
        <v>236</v>
      </c>
      <c r="D17" s="16"/>
      <c r="E17" s="16"/>
      <c r="F17" s="128"/>
      <c r="G17" s="128"/>
      <c r="H17" s="128"/>
      <c r="I17" s="128"/>
      <c r="J17" s="128"/>
      <c r="K17" s="128"/>
      <c r="L17" s="128"/>
      <c r="M17" s="3"/>
    </row>
    <row r="18" spans="2:13" ht="15" x14ac:dyDescent="0.2">
      <c r="B18" s="2">
        <v>1</v>
      </c>
      <c r="C18" s="16" t="s">
        <v>237</v>
      </c>
      <c r="D18" s="2" t="s">
        <v>204</v>
      </c>
      <c r="E18" s="16" t="s">
        <v>164</v>
      </c>
      <c r="F18" s="175">
        <f>'F12'!E19</f>
        <v>3.6132254714078011</v>
      </c>
      <c r="G18" s="175">
        <f>'F12'!F19</f>
        <v>3.750291239709846</v>
      </c>
      <c r="H18" s="175">
        <f>'F12'!G19</f>
        <v>3.750291239709846</v>
      </c>
      <c r="I18" s="175">
        <f>'F12'!H19</f>
        <v>2.9830000000000001</v>
      </c>
      <c r="J18" s="175">
        <f>'F12'!I19</f>
        <v>2.9830000000000001</v>
      </c>
      <c r="K18" s="175">
        <f>'F12'!J19</f>
        <v>2.7370000000000001</v>
      </c>
      <c r="L18" s="175">
        <f>'F12'!K19</f>
        <v>2.7370000000000001</v>
      </c>
      <c r="M18" s="3"/>
    </row>
    <row r="19" spans="2:13" ht="15" x14ac:dyDescent="0.2">
      <c r="B19" s="2">
        <f>B18+1</f>
        <v>2</v>
      </c>
      <c r="C19" s="16" t="s">
        <v>238</v>
      </c>
      <c r="D19" s="2" t="s">
        <v>45</v>
      </c>
      <c r="E19" s="16" t="s">
        <v>34</v>
      </c>
      <c r="F19" s="172">
        <f>G19</f>
        <v>3262.15894386122</v>
      </c>
      <c r="G19" s="172">
        <f>'F10'!F30</f>
        <v>3262.15894386122</v>
      </c>
      <c r="H19" s="172">
        <f>'F10'!G30</f>
        <v>3262.15894386122</v>
      </c>
      <c r="I19" s="172">
        <f>J19</f>
        <v>4027.5089680000001</v>
      </c>
      <c r="J19" s="172">
        <f>'F10'!I23</f>
        <v>4027.5089680000001</v>
      </c>
      <c r="K19" s="172">
        <f>L19</f>
        <v>4236.46</v>
      </c>
      <c r="L19" s="172">
        <f>'F10'!K23</f>
        <v>4236.46</v>
      </c>
      <c r="M19" s="3"/>
    </row>
    <row r="20" spans="2:13" ht="15" x14ac:dyDescent="0.2">
      <c r="B20" s="2">
        <f>B19+1</f>
        <v>3</v>
      </c>
      <c r="C20" s="16" t="s">
        <v>236</v>
      </c>
      <c r="D20" s="2" t="s">
        <v>205</v>
      </c>
      <c r="E20" s="16"/>
      <c r="F20" s="172">
        <f>F18*F19/10</f>
        <v>1178.6915787740131</v>
      </c>
      <c r="G20" s="172">
        <f t="shared" ref="G20:L20" si="3">G18*G19/10</f>
        <v>1223.4046109703856</v>
      </c>
      <c r="H20" s="172">
        <f t="shared" si="3"/>
        <v>1223.4046109703856</v>
      </c>
      <c r="I20" s="172">
        <f t="shared" si="3"/>
        <v>1201.4059251543999</v>
      </c>
      <c r="J20" s="172">
        <f t="shared" si="3"/>
        <v>1201.4059251543999</v>
      </c>
      <c r="K20" s="172">
        <f t="shared" si="3"/>
        <v>1159.519102</v>
      </c>
      <c r="L20" s="172">
        <f t="shared" si="3"/>
        <v>1159.519102</v>
      </c>
      <c r="M20" s="3"/>
    </row>
    <row r="21" spans="2:13" ht="15" x14ac:dyDescent="0.2">
      <c r="B21" s="14" t="s">
        <v>72</v>
      </c>
      <c r="C21" s="14" t="s">
        <v>394</v>
      </c>
      <c r="D21" s="2" t="s">
        <v>205</v>
      </c>
      <c r="E21" s="3"/>
      <c r="F21" s="176">
        <f>F16+F20</f>
        <v>1790.3715787740132</v>
      </c>
      <c r="G21" s="172">
        <f t="shared" ref="G21:L21" ca="1" si="4">G16+G20</f>
        <v>2000.0446109703857</v>
      </c>
      <c r="H21" s="172">
        <f t="shared" ca="1" si="4"/>
        <v>2000.0446109703857</v>
      </c>
      <c r="I21" s="172">
        <f t="shared" si="4"/>
        <v>1871.8859251544</v>
      </c>
      <c r="J21" s="172">
        <f t="shared" ca="1" si="4"/>
        <v>1975.3259251544</v>
      </c>
      <c r="K21" s="172">
        <f t="shared" si="4"/>
        <v>1827.8591019999999</v>
      </c>
      <c r="L21" s="172">
        <f t="shared" ca="1" si="4"/>
        <v>1941.719102</v>
      </c>
      <c r="M21" s="3"/>
    </row>
    <row r="22" spans="2:13" x14ac:dyDescent="0.2">
      <c r="F22" s="142"/>
    </row>
  </sheetData>
  <mergeCells count="8">
    <mergeCell ref="D6:D8"/>
    <mergeCell ref="B6:B8"/>
    <mergeCell ref="C6:C8"/>
    <mergeCell ref="E6:E8"/>
    <mergeCell ref="M6:M8"/>
    <mergeCell ref="F6:H6"/>
    <mergeCell ref="I6:J6"/>
    <mergeCell ref="K6:L6"/>
  </mergeCells>
  <pageMargins left="0.23" right="0.23" top="0.92" bottom="1" header="0.5" footer="0.5"/>
  <pageSetup paperSize="9" scale="88"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9"/>
  <sheetViews>
    <sheetView showGridLines="0" view="pageBreakPreview" zoomScaleNormal="91" zoomScaleSheetLayoutView="100" workbookViewId="0">
      <selection activeCell="I15" sqref="I15"/>
    </sheetView>
  </sheetViews>
  <sheetFormatPr defaultColWidth="9.28515625" defaultRowHeight="14.25" x14ac:dyDescent="0.2"/>
  <cols>
    <col min="1" max="1" width="2.42578125" style="88" customWidth="1"/>
    <col min="2" max="2" width="31.7109375" style="88" customWidth="1"/>
    <col min="3" max="3" width="8.42578125" style="88" customWidth="1"/>
    <col min="4" max="4" width="9.28515625" style="88" customWidth="1"/>
    <col min="5" max="5" width="12" style="88" customWidth="1"/>
    <col min="6" max="6" width="9.28515625" style="88" customWidth="1"/>
    <col min="7" max="7" width="11.140625" style="88" customWidth="1"/>
    <col min="8" max="8" width="11.42578125" style="88" customWidth="1"/>
    <col min="9" max="9" width="9.5703125" style="88" customWidth="1"/>
    <col min="10" max="10" width="11.7109375" style="88" customWidth="1"/>
    <col min="11" max="11" width="12.28515625" style="88" customWidth="1"/>
    <col min="12" max="16384" width="9.28515625" style="88"/>
  </cols>
  <sheetData>
    <row r="2" spans="2:11" ht="15" x14ac:dyDescent="0.2">
      <c r="G2" s="32" t="s">
        <v>403</v>
      </c>
    </row>
    <row r="3" spans="2:11" ht="15" x14ac:dyDescent="0.2">
      <c r="G3" s="32" t="s">
        <v>467</v>
      </c>
    </row>
    <row r="4" spans="2:11" ht="15" x14ac:dyDescent="0.2">
      <c r="G4" s="35" t="s">
        <v>345</v>
      </c>
    </row>
    <row r="5" spans="2:11" ht="10.5" customHeight="1" x14ac:dyDescent="0.2"/>
    <row r="6" spans="2:11" ht="15" x14ac:dyDescent="0.2">
      <c r="B6" s="330" t="s">
        <v>18</v>
      </c>
      <c r="C6" s="330" t="s">
        <v>209</v>
      </c>
      <c r="D6" s="330" t="s">
        <v>39</v>
      </c>
      <c r="E6" s="286" t="s">
        <v>405</v>
      </c>
      <c r="F6" s="287"/>
      <c r="G6" s="288"/>
      <c r="H6" s="286" t="s">
        <v>406</v>
      </c>
      <c r="I6" s="288"/>
      <c r="J6" s="286" t="s">
        <v>466</v>
      </c>
      <c r="K6" s="288"/>
    </row>
    <row r="7" spans="2:11" ht="49.5" customHeight="1" x14ac:dyDescent="0.2">
      <c r="B7" s="330"/>
      <c r="C7" s="330"/>
      <c r="D7" s="330"/>
      <c r="E7" s="15" t="s">
        <v>370</v>
      </c>
      <c r="F7" s="15" t="s">
        <v>240</v>
      </c>
      <c r="G7" s="15" t="s">
        <v>208</v>
      </c>
      <c r="H7" s="15" t="s">
        <v>395</v>
      </c>
      <c r="I7" s="15" t="s">
        <v>239</v>
      </c>
      <c r="J7" s="15" t="s">
        <v>395</v>
      </c>
      <c r="K7" s="15" t="s">
        <v>229</v>
      </c>
    </row>
    <row r="8" spans="2:11" ht="30" x14ac:dyDescent="0.2">
      <c r="B8" s="330"/>
      <c r="C8" s="330"/>
      <c r="D8" s="330"/>
      <c r="E8" s="15" t="s">
        <v>10</v>
      </c>
      <c r="F8" s="15" t="s">
        <v>12</v>
      </c>
      <c r="G8" s="15" t="s">
        <v>231</v>
      </c>
      <c r="H8" s="15" t="s">
        <v>10</v>
      </c>
      <c r="I8" s="15" t="s">
        <v>5</v>
      </c>
      <c r="J8" s="15" t="s">
        <v>10</v>
      </c>
      <c r="K8" s="15" t="s">
        <v>8</v>
      </c>
    </row>
    <row r="9" spans="2:11" x14ac:dyDescent="0.2">
      <c r="B9" s="93" t="s">
        <v>171</v>
      </c>
      <c r="C9" s="96" t="s">
        <v>352</v>
      </c>
      <c r="D9" s="96" t="s">
        <v>42</v>
      </c>
      <c r="E9" s="28">
        <v>5.25</v>
      </c>
      <c r="F9" s="104">
        <f>'F10'!F28</f>
        <v>6.3259106831149996</v>
      </c>
      <c r="G9" s="104">
        <f t="shared" ref="G9:G15" si="0">F9</f>
        <v>6.3259106831149996</v>
      </c>
      <c r="H9" s="104">
        <v>5.25</v>
      </c>
      <c r="I9" s="104">
        <v>5.25</v>
      </c>
      <c r="J9" s="104">
        <v>5.25</v>
      </c>
      <c r="K9" s="104">
        <v>5.25</v>
      </c>
    </row>
    <row r="10" spans="2:11" x14ac:dyDescent="0.2">
      <c r="B10" s="94" t="s">
        <v>207</v>
      </c>
      <c r="C10" s="97" t="s">
        <v>362</v>
      </c>
      <c r="D10" s="97" t="s">
        <v>49</v>
      </c>
      <c r="E10" s="28">
        <v>2300</v>
      </c>
      <c r="F10" s="106">
        <f>'F10'!F34</f>
        <v>2371.4051816875794</v>
      </c>
      <c r="G10" s="106">
        <f>F10</f>
        <v>2371.4051816875794</v>
      </c>
      <c r="H10" s="28">
        <v>2300</v>
      </c>
      <c r="I10" s="28">
        <v>2300</v>
      </c>
      <c r="J10" s="28">
        <v>2300</v>
      </c>
      <c r="K10" s="28">
        <v>2300</v>
      </c>
    </row>
    <row r="11" spans="2:11" x14ac:dyDescent="0.2">
      <c r="B11" s="93" t="s">
        <v>346</v>
      </c>
      <c r="C11" s="96" t="s">
        <v>353</v>
      </c>
      <c r="D11" s="96" t="s">
        <v>51</v>
      </c>
      <c r="E11" s="28">
        <v>0.5</v>
      </c>
      <c r="F11" s="104">
        <f>'F10'!F38</f>
        <v>0.22</v>
      </c>
      <c r="G11" s="104">
        <f t="shared" si="0"/>
        <v>0.22</v>
      </c>
      <c r="H11" s="139">
        <f t="shared" ref="H11:H15" si="1">I11</f>
        <v>0.5</v>
      </c>
      <c r="I11" s="139">
        <v>0.5</v>
      </c>
      <c r="J11" s="139">
        <f t="shared" ref="J11:J12" si="2">H11</f>
        <v>0.5</v>
      </c>
      <c r="K11" s="139">
        <f t="shared" ref="K11:K12" si="3">I11</f>
        <v>0.5</v>
      </c>
    </row>
    <row r="12" spans="2:11" x14ac:dyDescent="0.2">
      <c r="B12" s="93" t="s">
        <v>347</v>
      </c>
      <c r="C12" s="96" t="s">
        <v>354</v>
      </c>
      <c r="D12" s="96" t="s">
        <v>355</v>
      </c>
      <c r="E12" s="106">
        <f>F12</f>
        <v>9390</v>
      </c>
      <c r="F12" s="106">
        <v>9390</v>
      </c>
      <c r="G12" s="106">
        <f t="shared" si="0"/>
        <v>9390</v>
      </c>
      <c r="H12" s="106">
        <f t="shared" si="1"/>
        <v>9390</v>
      </c>
      <c r="I12" s="106">
        <v>9390</v>
      </c>
      <c r="J12" s="106">
        <f t="shared" si="2"/>
        <v>9390</v>
      </c>
      <c r="K12" s="106">
        <f t="shared" si="3"/>
        <v>9390</v>
      </c>
    </row>
    <row r="13" spans="2:11" x14ac:dyDescent="0.2">
      <c r="B13" s="93" t="s">
        <v>348</v>
      </c>
      <c r="C13" s="96" t="s">
        <v>356</v>
      </c>
      <c r="D13" s="96" t="s">
        <v>357</v>
      </c>
      <c r="E13" s="104">
        <v>7.0594456675285314E-2</v>
      </c>
      <c r="F13" s="104">
        <f>E13</f>
        <v>7.0594456675285314E-2</v>
      </c>
      <c r="G13" s="104">
        <f t="shared" si="0"/>
        <v>7.0594456675285314E-2</v>
      </c>
      <c r="H13" s="104">
        <f t="shared" si="1"/>
        <v>6.8142126294257505E-2</v>
      </c>
      <c r="I13" s="104">
        <f>68142.1262942575/1000000</f>
        <v>6.8142126294257505E-2</v>
      </c>
      <c r="J13" s="104">
        <f>K13</f>
        <v>6.9874866473171801E-2</v>
      </c>
      <c r="K13" s="104">
        <f>69874.8664731718/1000000</f>
        <v>6.9874866473171801E-2</v>
      </c>
    </row>
    <row r="14" spans="2:11" ht="15.75" x14ac:dyDescent="0.2">
      <c r="B14" s="93" t="s">
        <v>363</v>
      </c>
      <c r="C14" s="96" t="s">
        <v>358</v>
      </c>
      <c r="D14" s="96" t="s">
        <v>332</v>
      </c>
      <c r="E14" s="263">
        <v>3871.7689999999998</v>
      </c>
      <c r="F14" s="106">
        <f>E14</f>
        <v>3871.7689999999998</v>
      </c>
      <c r="G14" s="106">
        <f>F14</f>
        <v>3871.7689999999998</v>
      </c>
      <c r="H14" s="139">
        <f t="shared" si="1"/>
        <v>4083.7147672541123</v>
      </c>
      <c r="I14" s="106">
        <v>4083.7147672541123</v>
      </c>
      <c r="J14" s="106">
        <f>K14</f>
        <v>4231.8094657651045</v>
      </c>
      <c r="K14" s="106">
        <v>4231.8094657651045</v>
      </c>
    </row>
    <row r="15" spans="2:11" ht="15.75" x14ac:dyDescent="0.2">
      <c r="B15" s="93" t="s">
        <v>349</v>
      </c>
      <c r="C15" s="96" t="s">
        <v>359</v>
      </c>
      <c r="D15" s="96" t="s">
        <v>360</v>
      </c>
      <c r="E15" s="104">
        <v>5.7153445844049617</v>
      </c>
      <c r="F15" s="104">
        <f>E15</f>
        <v>5.7153445844049617</v>
      </c>
      <c r="G15" s="104">
        <f t="shared" si="0"/>
        <v>5.7153445844049617</v>
      </c>
      <c r="H15" s="141">
        <f t="shared" si="1"/>
        <v>4.9673739122064502</v>
      </c>
      <c r="I15" s="264">
        <f>4967.37391220645/1000</f>
        <v>4.9673739122064502</v>
      </c>
      <c r="J15" s="265">
        <f>K15</f>
        <v>4.7162242527078098</v>
      </c>
      <c r="K15" s="265">
        <f>4716.22425270781/1000</f>
        <v>4.7162242527078098</v>
      </c>
    </row>
    <row r="16" spans="2:11" x14ac:dyDescent="0.2">
      <c r="B16" s="93" t="s">
        <v>350</v>
      </c>
      <c r="C16" s="96"/>
      <c r="D16" s="96" t="s">
        <v>361</v>
      </c>
      <c r="E16" s="104">
        <f>(E10-(E11*E12/1000))/E14</f>
        <v>0.59283108057324696</v>
      </c>
      <c r="F16" s="104">
        <f>(F10-(F11*F12/1000))/F14</f>
        <v>0.61195267116596563</v>
      </c>
      <c r="G16" s="104">
        <f t="shared" ref="G16:K16" si="4">(G10-(G11*G12/1000))/G14</f>
        <v>0.61195267116596563</v>
      </c>
      <c r="H16" s="104">
        <f t="shared" si="4"/>
        <v>0.56206300655600439</v>
      </c>
      <c r="I16" s="104">
        <f t="shared" si="4"/>
        <v>0.56206300655600439</v>
      </c>
      <c r="J16" s="104">
        <f t="shared" si="4"/>
        <v>0.54239327610772103</v>
      </c>
      <c r="K16" s="104">
        <f t="shared" si="4"/>
        <v>0.54239327610772103</v>
      </c>
    </row>
    <row r="17" spans="2:11" ht="15" x14ac:dyDescent="0.2">
      <c r="B17" s="93" t="s">
        <v>409</v>
      </c>
      <c r="C17" s="96"/>
      <c r="D17" s="95" t="s">
        <v>204</v>
      </c>
      <c r="E17" s="141">
        <f>IFERROR(((E10-E11*E12/1000)*E15/E14)*100/(100-E9),0)</f>
        <v>3.5759724599696558</v>
      </c>
      <c r="F17" s="141">
        <f>IFERROR(((F10-F11*F12/1000)*F15/F14)*100/(100-F9),0)</f>
        <v>3.7337116491508979</v>
      </c>
      <c r="G17" s="141">
        <f>IFERROR(((G10-G11*G12/1000)*G15/G14)*100/(100-G9),0)</f>
        <v>3.7337116491508979</v>
      </c>
      <c r="H17" s="141">
        <f t="shared" ref="H17:K17" si="5">ROUND(IFERROR(((H10-H11*H12/1000)*H15/H14)*100/(100-H9),0),3)</f>
        <v>2.9470000000000001</v>
      </c>
      <c r="I17" s="141">
        <f t="shared" si="5"/>
        <v>2.9470000000000001</v>
      </c>
      <c r="J17" s="141">
        <f t="shared" si="5"/>
        <v>2.7</v>
      </c>
      <c r="K17" s="141">
        <f t="shared" si="5"/>
        <v>2.7</v>
      </c>
    </row>
    <row r="18" spans="2:11" ht="15" x14ac:dyDescent="0.2">
      <c r="B18" s="93" t="s">
        <v>410</v>
      </c>
      <c r="C18" s="96"/>
      <c r="D18" s="95" t="s">
        <v>204</v>
      </c>
      <c r="E18" s="141">
        <f>IFERROR((E11*E13)*100/(100-E9),0)</f>
        <v>3.7253011438145286E-2</v>
      </c>
      <c r="F18" s="141">
        <f>IFERROR((F11*F13)*100/(100-F9),0)</f>
        <v>1.6579590558947987E-2</v>
      </c>
      <c r="G18" s="141">
        <f>IFERROR((G11*G13)*100/(100-G9),0)</f>
        <v>1.6579590558947987E-2</v>
      </c>
      <c r="H18" s="141">
        <f t="shared" ref="H18:K18" si="6">ROUND(IFERROR((H11*H13)*100/(100-H9),0),3)</f>
        <v>3.5999999999999997E-2</v>
      </c>
      <c r="I18" s="141">
        <f t="shared" si="6"/>
        <v>3.5999999999999997E-2</v>
      </c>
      <c r="J18" s="141">
        <f t="shared" si="6"/>
        <v>3.6999999999999998E-2</v>
      </c>
      <c r="K18" s="141">
        <f t="shared" si="6"/>
        <v>3.6999999999999998E-2</v>
      </c>
    </row>
    <row r="19" spans="2:11" ht="15" x14ac:dyDescent="0.2">
      <c r="B19" s="95" t="s">
        <v>351</v>
      </c>
      <c r="C19" s="96"/>
      <c r="D19" s="95" t="s">
        <v>204</v>
      </c>
      <c r="E19" s="140">
        <f>IFERROR(((E10-E11*E12/1000)*E15/E14+E11*E13)*100/(100-E9),0)</f>
        <v>3.6132254714078011</v>
      </c>
      <c r="F19" s="140">
        <f>IFERROR(((F10-F11*F12/1000)*F15/F14+F11*F13)*100/(100-F9),0)</f>
        <v>3.750291239709846</v>
      </c>
      <c r="G19" s="140">
        <f>IFERROR(((G10-G11*G12/1000)*G15/G14+G11*G13)*100/(100-G9),0)</f>
        <v>3.750291239709846</v>
      </c>
      <c r="H19" s="140">
        <f t="shared" ref="H19:K19" si="7">ROUND(IFERROR(((H10-H11*H12/1000)*H15/H14+H11*H13)*100/(100-H9),0),3)</f>
        <v>2.9830000000000001</v>
      </c>
      <c r="I19" s="140">
        <f t="shared" si="7"/>
        <v>2.9830000000000001</v>
      </c>
      <c r="J19" s="140">
        <f t="shared" si="7"/>
        <v>2.7370000000000001</v>
      </c>
      <c r="K19" s="140">
        <f t="shared" si="7"/>
        <v>2.7370000000000001</v>
      </c>
    </row>
  </sheetData>
  <mergeCells count="6">
    <mergeCell ref="J6:K6"/>
    <mergeCell ref="E6:G6"/>
    <mergeCell ref="H6:I6"/>
    <mergeCell ref="B6:B8"/>
    <mergeCell ref="D6:D8"/>
    <mergeCell ref="C6:C8"/>
  </mergeCells>
  <pageMargins left="0.2" right="0.2" top="0.75" bottom="0.75" header="0.3" footer="0.3"/>
  <pageSetup paperSize="9" scale="95"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3"/>
  <sheetViews>
    <sheetView showGridLines="0" view="pageBreakPreview" topLeftCell="A6" zoomScale="81" zoomScaleNormal="93" zoomScaleSheetLayoutView="81" workbookViewId="0">
      <selection activeCell="S33" sqref="S33"/>
    </sheetView>
  </sheetViews>
  <sheetFormatPr defaultColWidth="9.28515625" defaultRowHeight="14.25" x14ac:dyDescent="0.2"/>
  <cols>
    <col min="1" max="1" width="4.28515625" style="5" customWidth="1"/>
    <col min="2" max="2" width="30.42578125" style="5" customWidth="1"/>
    <col min="3" max="15" width="10.7109375" style="5" customWidth="1"/>
    <col min="16" max="16384" width="9.28515625" style="5"/>
  </cols>
  <sheetData>
    <row r="1" spans="1:17" ht="15" x14ac:dyDescent="0.2">
      <c r="B1" s="98"/>
    </row>
    <row r="2" spans="1:17" ht="15" x14ac:dyDescent="0.2">
      <c r="I2" s="32" t="s">
        <v>403</v>
      </c>
    </row>
    <row r="3" spans="1:17" ht="15" x14ac:dyDescent="0.2">
      <c r="I3" s="32" t="s">
        <v>467</v>
      </c>
    </row>
    <row r="4" spans="1:17" ht="15" x14ac:dyDescent="0.2">
      <c r="C4" s="74"/>
      <c r="D4" s="74"/>
      <c r="E4" s="74"/>
      <c r="F4" s="74"/>
      <c r="G4" s="74"/>
      <c r="H4" s="74"/>
      <c r="I4" s="35" t="s">
        <v>365</v>
      </c>
    </row>
    <row r="5" spans="1:17" ht="16.5" x14ac:dyDescent="0.2">
      <c r="B5" s="24"/>
      <c r="C5" s="74"/>
      <c r="D5" s="74"/>
      <c r="E5" s="74"/>
      <c r="F5" s="74"/>
      <c r="G5" s="74"/>
      <c r="H5" s="74"/>
      <c r="I5" s="87"/>
    </row>
    <row r="6" spans="1:17" ht="16.5" x14ac:dyDescent="0.2">
      <c r="B6" s="24" t="s">
        <v>405</v>
      </c>
      <c r="C6" s="74"/>
      <c r="D6" s="74"/>
      <c r="E6" s="74"/>
      <c r="F6" s="74"/>
      <c r="G6" s="74"/>
      <c r="H6" s="74"/>
      <c r="I6" s="74"/>
      <c r="J6" s="74"/>
      <c r="K6" s="74"/>
      <c r="L6" s="74"/>
      <c r="M6" s="74"/>
      <c r="N6" s="74"/>
      <c r="O6" s="35"/>
      <c r="P6" s="87"/>
    </row>
    <row r="7" spans="1:17" ht="16.5" x14ac:dyDescent="0.2">
      <c r="A7" s="5" t="s">
        <v>364</v>
      </c>
      <c r="B7" s="233" t="s">
        <v>12</v>
      </c>
      <c r="C7" s="25"/>
      <c r="D7" s="25"/>
      <c r="O7" s="25" t="s">
        <v>140</v>
      </c>
      <c r="P7" s="87"/>
    </row>
    <row r="8" spans="1:17" ht="18.75" customHeight="1" x14ac:dyDescent="0.2">
      <c r="B8" s="292" t="s">
        <v>366</v>
      </c>
      <c r="C8" s="331" t="s">
        <v>153</v>
      </c>
      <c r="D8" s="311"/>
      <c r="E8" s="311"/>
      <c r="F8" s="311"/>
      <c r="G8" s="311"/>
      <c r="H8" s="312"/>
      <c r="I8" s="331" t="s">
        <v>5</v>
      </c>
      <c r="J8" s="311"/>
      <c r="K8" s="311"/>
      <c r="L8" s="311"/>
      <c r="M8" s="311"/>
      <c r="N8" s="312"/>
      <c r="O8" s="234" t="s">
        <v>154</v>
      </c>
      <c r="P8" s="87"/>
      <c r="Q8" s="87"/>
    </row>
    <row r="9" spans="1:17" ht="15" x14ac:dyDescent="0.2">
      <c r="B9" s="294"/>
      <c r="C9" s="234" t="s">
        <v>141</v>
      </c>
      <c r="D9" s="234" t="s">
        <v>142</v>
      </c>
      <c r="E9" s="235" t="s">
        <v>143</v>
      </c>
      <c r="F9" s="235" t="s">
        <v>144</v>
      </c>
      <c r="G9" s="235" t="s">
        <v>145</v>
      </c>
      <c r="H9" s="235" t="s">
        <v>146</v>
      </c>
      <c r="I9" s="235" t="s">
        <v>147</v>
      </c>
      <c r="J9" s="235" t="s">
        <v>148</v>
      </c>
      <c r="K9" s="235" t="s">
        <v>149</v>
      </c>
      <c r="L9" s="235" t="s">
        <v>150</v>
      </c>
      <c r="M9" s="235" t="s">
        <v>151</v>
      </c>
      <c r="N9" s="235" t="s">
        <v>152</v>
      </c>
      <c r="O9" s="230"/>
    </row>
    <row r="10" spans="1:17" s="32" customFormat="1" ht="15" x14ac:dyDescent="0.2">
      <c r="B10" s="163" t="s">
        <v>461</v>
      </c>
      <c r="C10" s="162">
        <f>340.664774*0.7055</f>
        <v>240.33899805700003</v>
      </c>
      <c r="D10" s="162">
        <f>330.763234*0.7055</f>
        <v>233.35346158700003</v>
      </c>
      <c r="E10" s="162">
        <f>326.505292*0.7055</f>
        <v>230.34948350600001</v>
      </c>
      <c r="F10" s="162">
        <f>277.41*0.7055</f>
        <v>195.71275500000002</v>
      </c>
      <c r="G10" s="162">
        <f>273.59*0.7055</f>
        <v>193.01774499999999</v>
      </c>
      <c r="H10" s="162">
        <f>293.49*0.7055</f>
        <v>207.05719500000001</v>
      </c>
      <c r="I10" s="162">
        <f>286.14*0.7055</f>
        <v>201.87177</v>
      </c>
      <c r="J10" s="162">
        <f>140.16*0.7055</f>
        <v>98.88288</v>
      </c>
      <c r="K10" s="162">
        <f>-2.19*0.7055</f>
        <v>-1.545045</v>
      </c>
      <c r="L10" s="162">
        <f>252.71*0.7055</f>
        <v>178.28690500000002</v>
      </c>
      <c r="M10" s="162">
        <f>356.96*0.7055</f>
        <v>251.83527999999998</v>
      </c>
      <c r="N10" s="162">
        <f>385.95*0.7055</f>
        <v>272.28772500000002</v>
      </c>
      <c r="O10" s="236">
        <f>SUM(C10:N10)</f>
        <v>2301.4491531500003</v>
      </c>
    </row>
    <row r="11" spans="1:17" s="32" customFormat="1" ht="15" x14ac:dyDescent="0.2">
      <c r="B11" s="163"/>
      <c r="C11" s="162"/>
      <c r="D11" s="162"/>
      <c r="E11" s="162"/>
      <c r="F11" s="162"/>
      <c r="G11" s="162"/>
      <c r="H11" s="162"/>
      <c r="I11" s="236"/>
      <c r="J11" s="236"/>
      <c r="K11" s="236"/>
      <c r="L11" s="236"/>
      <c r="M11" s="236"/>
      <c r="N11" s="236"/>
      <c r="O11" s="236"/>
    </row>
    <row r="12" spans="1:17" s="32" customFormat="1" ht="15" x14ac:dyDescent="0.2">
      <c r="B12" s="163" t="s">
        <v>462</v>
      </c>
      <c r="C12" s="162">
        <f>340.664774*0.2945</f>
        <v>100.325775943</v>
      </c>
      <c r="D12" s="162">
        <f>330.763234*0.2945</f>
        <v>97.409772412999999</v>
      </c>
      <c r="E12" s="162">
        <f>326.505292*0.2945</f>
        <v>96.155808493999999</v>
      </c>
      <c r="F12" s="162">
        <f>277.41*0.2945</f>
        <v>81.697245000000009</v>
      </c>
      <c r="G12" s="162">
        <f>273.59*0.2945</f>
        <v>80.572254999999984</v>
      </c>
      <c r="H12" s="162">
        <f>293.49*0.2945</f>
        <v>86.432805000000002</v>
      </c>
      <c r="I12" s="162">
        <f>286.14*0.2945</f>
        <v>84.268229999999988</v>
      </c>
      <c r="J12" s="162">
        <f>140.16*0.2945</f>
        <v>41.277119999999996</v>
      </c>
      <c r="K12" s="162">
        <f>-2.19*0.2945</f>
        <v>-0.64495499999999995</v>
      </c>
      <c r="L12" s="162">
        <f>252.71*0.2945</f>
        <v>74.423095000000004</v>
      </c>
      <c r="M12" s="162">
        <f>356.96*0.2945</f>
        <v>105.12471999999998</v>
      </c>
      <c r="N12" s="162">
        <f>385.95*0.2945</f>
        <v>113.66227499999999</v>
      </c>
      <c r="O12" s="236">
        <f>SUM(C12:N12)</f>
        <v>960.70414685000003</v>
      </c>
    </row>
    <row r="13" spans="1:17" s="32" customFormat="1" ht="15" x14ac:dyDescent="0.2">
      <c r="B13" s="237"/>
      <c r="C13" s="236"/>
      <c r="D13" s="236"/>
      <c r="E13" s="236"/>
      <c r="F13" s="236"/>
      <c r="G13" s="236"/>
      <c r="H13" s="236"/>
      <c r="I13" s="236"/>
      <c r="J13" s="236"/>
      <c r="K13" s="236"/>
      <c r="L13" s="236"/>
      <c r="M13" s="236"/>
      <c r="N13" s="236"/>
      <c r="O13" s="236"/>
    </row>
    <row r="14" spans="1:17" ht="15" x14ac:dyDescent="0.2">
      <c r="B14" s="236" t="s">
        <v>139</v>
      </c>
      <c r="C14" s="238">
        <f>C10+C12</f>
        <v>340.66477400000002</v>
      </c>
      <c r="D14" s="238">
        <f t="shared" ref="D14:N14" si="0">D10+D12</f>
        <v>330.76323400000001</v>
      </c>
      <c r="E14" s="238">
        <f t="shared" si="0"/>
        <v>326.505292</v>
      </c>
      <c r="F14" s="238">
        <f t="shared" si="0"/>
        <v>277.41000000000003</v>
      </c>
      <c r="G14" s="238">
        <f t="shared" si="0"/>
        <v>273.58999999999997</v>
      </c>
      <c r="H14" s="238">
        <f>H10+H12</f>
        <v>293.49</v>
      </c>
      <c r="I14" s="238">
        <f t="shared" si="0"/>
        <v>286.14</v>
      </c>
      <c r="J14" s="238">
        <f t="shared" si="0"/>
        <v>140.16</v>
      </c>
      <c r="K14" s="238">
        <f t="shared" si="0"/>
        <v>-2.19</v>
      </c>
      <c r="L14" s="238">
        <f>L10+L12</f>
        <v>252.71000000000004</v>
      </c>
      <c r="M14" s="238">
        <f t="shared" si="0"/>
        <v>356.96</v>
      </c>
      <c r="N14" s="238">
        <f t="shared" si="0"/>
        <v>385.95000000000005</v>
      </c>
      <c r="O14" s="238">
        <f>O10+O12</f>
        <v>3262.1533000000004</v>
      </c>
      <c r="P14" s="171">
        <f>'F10'!F23</f>
        <v>3262.15894386122</v>
      </c>
    </row>
    <row r="16" spans="1:17" ht="16.5" x14ac:dyDescent="0.2">
      <c r="B16" s="24"/>
      <c r="C16" s="74"/>
      <c r="D16" s="74"/>
      <c r="E16" s="74"/>
      <c r="F16" s="74"/>
      <c r="G16" s="74"/>
      <c r="H16" s="74"/>
      <c r="I16" s="74"/>
      <c r="J16" s="74"/>
      <c r="K16" s="74"/>
      <c r="L16" s="74"/>
      <c r="M16" s="74"/>
      <c r="N16" s="74"/>
      <c r="O16" s="35"/>
      <c r="P16" s="87"/>
    </row>
    <row r="17" spans="2:16" ht="15" x14ac:dyDescent="0.2">
      <c r="B17" s="24" t="s">
        <v>406</v>
      </c>
      <c r="C17" s="74"/>
      <c r="D17" s="74"/>
      <c r="E17" s="74"/>
      <c r="F17" s="74"/>
      <c r="G17" s="74"/>
      <c r="H17" s="74"/>
      <c r="I17" s="35"/>
    </row>
    <row r="18" spans="2:16" ht="15" x14ac:dyDescent="0.2">
      <c r="B18" s="233"/>
      <c r="C18" s="331" t="s">
        <v>485</v>
      </c>
      <c r="D18" s="311"/>
      <c r="E18" s="311"/>
      <c r="F18" s="311"/>
      <c r="G18" s="311"/>
      <c r="H18" s="312"/>
      <c r="I18" s="332" t="s">
        <v>5</v>
      </c>
      <c r="J18" s="333"/>
      <c r="K18" s="333"/>
      <c r="L18" s="333"/>
      <c r="M18" s="333"/>
      <c r="N18" s="334"/>
      <c r="O18" s="239" t="s">
        <v>140</v>
      </c>
    </row>
    <row r="19" spans="2:16" ht="15" x14ac:dyDescent="0.2">
      <c r="B19" s="234" t="s">
        <v>366</v>
      </c>
      <c r="C19" s="234" t="s">
        <v>141</v>
      </c>
      <c r="D19" s="234" t="s">
        <v>142</v>
      </c>
      <c r="E19" s="235" t="s">
        <v>143</v>
      </c>
      <c r="F19" s="235" t="s">
        <v>144</v>
      </c>
      <c r="G19" s="235" t="s">
        <v>145</v>
      </c>
      <c r="H19" s="235" t="s">
        <v>146</v>
      </c>
      <c r="I19" s="235" t="s">
        <v>147</v>
      </c>
      <c r="J19" s="235" t="s">
        <v>148</v>
      </c>
      <c r="K19" s="235" t="s">
        <v>149</v>
      </c>
      <c r="L19" s="235" t="s">
        <v>150</v>
      </c>
      <c r="M19" s="235" t="s">
        <v>151</v>
      </c>
      <c r="N19" s="235" t="s">
        <v>152</v>
      </c>
      <c r="O19" s="235" t="s">
        <v>139</v>
      </c>
    </row>
    <row r="20" spans="2:16" ht="15" x14ac:dyDescent="0.2">
      <c r="B20" s="163" t="s">
        <v>461</v>
      </c>
      <c r="C20" s="162">
        <f>290.82*0.7055</f>
        <v>205.17350999999999</v>
      </c>
      <c r="D20" s="162">
        <f>314.54*0.7055</f>
        <v>221.90797000000001</v>
      </c>
      <c r="E20" s="162">
        <f>312.26*0.7055</f>
        <v>220.29943</v>
      </c>
      <c r="F20" s="162">
        <f>346.05*0.7055</f>
        <v>244.13827500000002</v>
      </c>
      <c r="G20" s="162">
        <f>322.75*0.7055</f>
        <v>227.70012500000001</v>
      </c>
      <c r="H20" s="162">
        <f>330.35*0.7055</f>
        <v>233.06192500000003</v>
      </c>
      <c r="I20" s="240">
        <f>359.5194*0.7055</f>
        <v>253.64093670000003</v>
      </c>
      <c r="J20" s="240">
        <f>347.922*0.7055</f>
        <v>245.45897100000002</v>
      </c>
      <c r="K20" s="240">
        <f>359.5194*0.7055</f>
        <v>253.64093670000003</v>
      </c>
      <c r="L20" s="240">
        <f>359.5194*0.7055</f>
        <v>253.64093670000003</v>
      </c>
      <c r="M20" s="240">
        <f>324.7272*0.7055</f>
        <v>229.09503959999998</v>
      </c>
      <c r="N20" s="240">
        <f>359.5194*0.7055</f>
        <v>253.64093670000003</v>
      </c>
      <c r="O20" s="162">
        <f>C20+D20+E20+F20+G20+H20+I20+J20+K20+L20+M20+N20</f>
        <v>2841.3989924000002</v>
      </c>
    </row>
    <row r="21" spans="2:16" ht="15" x14ac:dyDescent="0.2">
      <c r="B21" s="163"/>
      <c r="C21" s="162"/>
      <c r="D21" s="162"/>
      <c r="E21" s="162"/>
      <c r="F21" s="162"/>
      <c r="G21" s="162"/>
      <c r="H21" s="162"/>
      <c r="I21" s="240"/>
      <c r="J21" s="240"/>
      <c r="K21" s="240"/>
      <c r="L21" s="240"/>
      <c r="M21" s="240"/>
      <c r="N21" s="240"/>
      <c r="O21" s="162"/>
    </row>
    <row r="22" spans="2:16" ht="15" x14ac:dyDescent="0.2">
      <c r="B22" s="163" t="s">
        <v>462</v>
      </c>
      <c r="C22" s="162">
        <f>290.82*0.2945</f>
        <v>85.64649</v>
      </c>
      <c r="D22" s="162">
        <f>314.54*0.2945</f>
        <v>92.63203</v>
      </c>
      <c r="E22" s="162">
        <f>312.26*0.2945</f>
        <v>91.96056999999999</v>
      </c>
      <c r="F22" s="162">
        <f>346.05*0.2945</f>
        <v>101.911725</v>
      </c>
      <c r="G22" s="162">
        <f>322.75*0.2945</f>
        <v>95.049875</v>
      </c>
      <c r="H22" s="162">
        <f>330.35*0.2945</f>
        <v>97.288075000000006</v>
      </c>
      <c r="I22" s="240">
        <f>359.5194*0.2945</f>
        <v>105.87846329999999</v>
      </c>
      <c r="J22" s="240">
        <f>347.922*0.2945</f>
        <v>102.46302900000001</v>
      </c>
      <c r="K22" s="240">
        <f>359.5194*0.2945</f>
        <v>105.87846329999999</v>
      </c>
      <c r="L22" s="240">
        <f>359.5194*0.2945</f>
        <v>105.87846329999999</v>
      </c>
      <c r="M22" s="240">
        <f>324.7272*0.2945</f>
        <v>95.632160399999989</v>
      </c>
      <c r="N22" s="240">
        <f>359.5194*0.2945</f>
        <v>105.87846329999999</v>
      </c>
      <c r="O22" s="162">
        <f t="shared" ref="O22" si="1">C22+D22+E22+F22+G22+H22+I22+J22+K22+L22+M22+N22</f>
        <v>1186.0978076000001</v>
      </c>
    </row>
    <row r="23" spans="2:16" x14ac:dyDescent="0.2">
      <c r="B23" s="237"/>
      <c r="C23" s="189"/>
      <c r="D23" s="189"/>
      <c r="E23" s="189"/>
      <c r="F23" s="189"/>
      <c r="G23" s="189"/>
      <c r="H23" s="189"/>
      <c r="I23" s="189"/>
      <c r="J23" s="189"/>
      <c r="K23" s="189"/>
      <c r="L23" s="189"/>
      <c r="M23" s="189"/>
      <c r="N23" s="189"/>
      <c r="O23" s="189"/>
    </row>
    <row r="24" spans="2:16" ht="15" x14ac:dyDescent="0.2">
      <c r="B24" s="236" t="s">
        <v>139</v>
      </c>
      <c r="C24" s="238">
        <f>C20+C22</f>
        <v>290.82</v>
      </c>
      <c r="D24" s="238">
        <f t="shared" ref="D24:N24" si="2">D20+D22</f>
        <v>314.54000000000002</v>
      </c>
      <c r="E24" s="238">
        <f t="shared" si="2"/>
        <v>312.26</v>
      </c>
      <c r="F24" s="238">
        <f t="shared" si="2"/>
        <v>346.05</v>
      </c>
      <c r="G24" s="238">
        <f t="shared" si="2"/>
        <v>322.75</v>
      </c>
      <c r="H24" s="238">
        <f t="shared" si="2"/>
        <v>330.35</v>
      </c>
      <c r="I24" s="238">
        <f t="shared" si="2"/>
        <v>359.51940000000002</v>
      </c>
      <c r="J24" s="238">
        <f t="shared" si="2"/>
        <v>347.92200000000003</v>
      </c>
      <c r="K24" s="238">
        <f>K20+K22</f>
        <v>359.51940000000002</v>
      </c>
      <c r="L24" s="238">
        <f t="shared" si="2"/>
        <v>359.51940000000002</v>
      </c>
      <c r="M24" s="238">
        <f t="shared" si="2"/>
        <v>324.72719999999998</v>
      </c>
      <c r="N24" s="238">
        <f t="shared" si="2"/>
        <v>359.51940000000002</v>
      </c>
      <c r="O24" s="238">
        <f>O20+O22</f>
        <v>4027.4968000000003</v>
      </c>
      <c r="P24" s="171">
        <f>'F10'!I23</f>
        <v>4027.5089680000001</v>
      </c>
    </row>
    <row r="26" spans="2:16" ht="15" x14ac:dyDescent="0.2">
      <c r="B26" s="24" t="s">
        <v>404</v>
      </c>
      <c r="C26" s="74"/>
      <c r="D26" s="74"/>
      <c r="E26" s="74"/>
      <c r="F26" s="74"/>
      <c r="G26" s="74"/>
      <c r="H26" s="74"/>
      <c r="I26" s="35"/>
    </row>
    <row r="27" spans="2:16" ht="15" x14ac:dyDescent="0.2">
      <c r="B27" s="24" t="s">
        <v>486</v>
      </c>
      <c r="C27" s="25"/>
      <c r="D27" s="25"/>
      <c r="O27" s="25" t="s">
        <v>140</v>
      </c>
    </row>
    <row r="28" spans="2:16" ht="15" x14ac:dyDescent="0.2">
      <c r="B28" s="234" t="s">
        <v>366</v>
      </c>
      <c r="C28" s="234" t="s">
        <v>141</v>
      </c>
      <c r="D28" s="234" t="s">
        <v>142</v>
      </c>
      <c r="E28" s="235" t="s">
        <v>143</v>
      </c>
      <c r="F28" s="235" t="s">
        <v>144</v>
      </c>
      <c r="G28" s="235" t="s">
        <v>145</v>
      </c>
      <c r="H28" s="235" t="s">
        <v>146</v>
      </c>
      <c r="I28" s="235" t="s">
        <v>147</v>
      </c>
      <c r="J28" s="235" t="s">
        <v>148</v>
      </c>
      <c r="K28" s="235" t="s">
        <v>149</v>
      </c>
      <c r="L28" s="235" t="s">
        <v>150</v>
      </c>
      <c r="M28" s="235" t="s">
        <v>151</v>
      </c>
      <c r="N28" s="235" t="s">
        <v>152</v>
      </c>
      <c r="O28" s="235" t="s">
        <v>139</v>
      </c>
    </row>
    <row r="29" spans="2:16" ht="15" x14ac:dyDescent="0.2">
      <c r="B29" s="163" t="s">
        <v>461</v>
      </c>
      <c r="C29" s="240">
        <f>368.39*0.7055</f>
        <v>259.89914499999998</v>
      </c>
      <c r="D29" s="240">
        <f>380.67*0.7055</f>
        <v>268.56268500000004</v>
      </c>
      <c r="E29" s="240">
        <f>368.39*0.7055</f>
        <v>259.89914499999998</v>
      </c>
      <c r="F29" s="240">
        <f t="shared" ref="F29:G29" si="3">380.67*0.7055</f>
        <v>268.56268500000004</v>
      </c>
      <c r="G29" s="240">
        <f t="shared" si="3"/>
        <v>268.56268500000004</v>
      </c>
      <c r="H29" s="240">
        <f>368.39*0.7055</f>
        <v>259.89914499999998</v>
      </c>
      <c r="I29" s="240">
        <f>380.67*0.7055</f>
        <v>268.56268500000004</v>
      </c>
      <c r="J29" s="240">
        <f>171.91*0.7055</f>
        <v>121.282505</v>
      </c>
      <c r="K29" s="240">
        <f>331.55*0.7055</f>
        <v>233.90852500000003</v>
      </c>
      <c r="L29" s="240">
        <f t="shared" ref="L29" si="4">380.67*0.7055</f>
        <v>268.56268500000004</v>
      </c>
      <c r="M29" s="240">
        <f>343.83*0.7055</f>
        <v>242.57206499999998</v>
      </c>
      <c r="N29" s="240">
        <f>380.409831*0.7055</f>
        <v>268.3791357705</v>
      </c>
      <c r="O29" s="162">
        <f>SUM(C29:N29)</f>
        <v>2988.6530907704996</v>
      </c>
    </row>
    <row r="30" spans="2:16" ht="15" x14ac:dyDescent="0.2">
      <c r="B30" s="163"/>
      <c r="C30" s="241"/>
      <c r="D30" s="241"/>
      <c r="E30" s="241"/>
      <c r="F30" s="241"/>
      <c r="G30" s="241"/>
      <c r="H30" s="241"/>
      <c r="I30" s="241"/>
      <c r="J30" s="241"/>
      <c r="K30" s="241"/>
      <c r="L30" s="241"/>
      <c r="M30" s="241"/>
      <c r="N30" s="241"/>
      <c r="O30" s="236"/>
    </row>
    <row r="31" spans="2:16" ht="15" x14ac:dyDescent="0.2">
      <c r="B31" s="163" t="s">
        <v>462</v>
      </c>
      <c r="C31" s="240">
        <f>368.39*0.2945</f>
        <v>108.490855</v>
      </c>
      <c r="D31" s="240">
        <f>380.67*0.2945</f>
        <v>112.107315</v>
      </c>
      <c r="E31" s="240">
        <f>368.39*0.2945</f>
        <v>108.490855</v>
      </c>
      <c r="F31" s="240">
        <f t="shared" ref="F31:G31" si="5">380.67*0.2945</f>
        <v>112.107315</v>
      </c>
      <c r="G31" s="240">
        <f t="shared" si="5"/>
        <v>112.107315</v>
      </c>
      <c r="H31" s="240">
        <f>368.39*0.2945</f>
        <v>108.490855</v>
      </c>
      <c r="I31" s="240">
        <f>380.67*0.2945</f>
        <v>112.107315</v>
      </c>
      <c r="J31" s="240">
        <f>171.91*0.2945</f>
        <v>50.627494999999996</v>
      </c>
      <c r="K31" s="240">
        <f>331.55*0.2945</f>
        <v>97.641475</v>
      </c>
      <c r="L31" s="240">
        <f t="shared" ref="L31" si="6">380.67*0.2945</f>
        <v>112.107315</v>
      </c>
      <c r="M31" s="240">
        <f>343.83*0.2945</f>
        <v>101.25793499999999</v>
      </c>
      <c r="N31" s="240">
        <f>380.409831*0.2945</f>
        <v>112.0306952295</v>
      </c>
      <c r="O31" s="162">
        <f>SUM(C31:N31)</f>
        <v>1247.5667402295001</v>
      </c>
    </row>
    <row r="32" spans="2:16" x14ac:dyDescent="0.2">
      <c r="B32" s="237"/>
      <c r="C32" s="189"/>
      <c r="D32" s="189"/>
      <c r="E32" s="189"/>
      <c r="F32" s="189"/>
      <c r="G32" s="189"/>
      <c r="H32" s="189"/>
      <c r="I32" s="189"/>
      <c r="J32" s="189"/>
      <c r="K32" s="189"/>
      <c r="L32" s="189"/>
      <c r="M32" s="189"/>
      <c r="N32" s="189"/>
      <c r="O32" s="189"/>
    </row>
    <row r="33" spans="2:16" ht="15" x14ac:dyDescent="0.2">
      <c r="B33" s="236" t="s">
        <v>139</v>
      </c>
      <c r="C33" s="238">
        <f>C29+C31</f>
        <v>368.39</v>
      </c>
      <c r="D33" s="238">
        <f t="shared" ref="D33:M33" si="7">D29+D31</f>
        <v>380.67000000000007</v>
      </c>
      <c r="E33" s="238">
        <f t="shared" si="7"/>
        <v>368.39</v>
      </c>
      <c r="F33" s="238">
        <f t="shared" si="7"/>
        <v>380.67000000000007</v>
      </c>
      <c r="G33" s="238">
        <f t="shared" si="7"/>
        <v>380.67000000000007</v>
      </c>
      <c r="H33" s="238">
        <f t="shared" si="7"/>
        <v>368.39</v>
      </c>
      <c r="I33" s="238">
        <f t="shared" si="7"/>
        <v>380.67000000000007</v>
      </c>
      <c r="J33" s="238">
        <f t="shared" si="7"/>
        <v>171.91</v>
      </c>
      <c r="K33" s="238">
        <f t="shared" si="7"/>
        <v>331.55</v>
      </c>
      <c r="L33" s="238">
        <f t="shared" si="7"/>
        <v>380.67000000000007</v>
      </c>
      <c r="M33" s="238">
        <f t="shared" si="7"/>
        <v>343.83</v>
      </c>
      <c r="N33" s="238">
        <f>N29+N31</f>
        <v>380.409831</v>
      </c>
      <c r="O33" s="238">
        <f t="shared" ref="O33" si="8">O29+O31</f>
        <v>4236.2198309999994</v>
      </c>
      <c r="P33" s="5">
        <f>'F10'!K23</f>
        <v>4236.46</v>
      </c>
    </row>
  </sheetData>
  <mergeCells count="5">
    <mergeCell ref="C18:H18"/>
    <mergeCell ref="I18:N18"/>
    <mergeCell ref="B8:B9"/>
    <mergeCell ref="C8:H8"/>
    <mergeCell ref="I8:N8"/>
  </mergeCells>
  <pageMargins left="0.13" right="0.33" top="1" bottom="0.37" header="0.5" footer="0.5"/>
  <pageSetup paperSize="9" scale="79"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31"/>
  <sheetViews>
    <sheetView showGridLines="0" view="pageBreakPreview" topLeftCell="K19" zoomScaleNormal="93" zoomScaleSheetLayoutView="100" workbookViewId="0">
      <selection activeCell="Q31" sqref="Q31"/>
    </sheetView>
  </sheetViews>
  <sheetFormatPr defaultColWidth="9.28515625" defaultRowHeight="15" x14ac:dyDescent="0.2"/>
  <cols>
    <col min="1" max="1" width="2.42578125" style="13" customWidth="1"/>
    <col min="2" max="2" width="5" style="13" customWidth="1"/>
    <col min="3" max="3" width="40.5703125" style="13" customWidth="1"/>
    <col min="4" max="4" width="13" style="13" customWidth="1"/>
    <col min="5" max="5" width="9.85546875" style="13" customWidth="1"/>
    <col min="6" max="6" width="10.42578125" style="13" customWidth="1"/>
    <col min="7" max="7" width="9" style="13" customWidth="1"/>
    <col min="8" max="8" width="9.7109375" style="13" customWidth="1"/>
    <col min="9" max="9" width="10" style="13" customWidth="1"/>
    <col min="10" max="10" width="11.140625" style="13" customWidth="1"/>
    <col min="11" max="11" width="9.5703125" style="13" customWidth="1"/>
    <col min="12" max="12" width="11.85546875" style="13" customWidth="1"/>
    <col min="13" max="13" width="9.7109375" style="13" customWidth="1"/>
    <col min="14" max="15" width="9" style="13" customWidth="1"/>
    <col min="16" max="16" width="9.28515625" style="13" customWidth="1"/>
    <col min="17" max="17" width="10.42578125" style="36" customWidth="1"/>
    <col min="18" max="16384" width="9.28515625" style="13"/>
  </cols>
  <sheetData>
    <row r="1" spans="2:17" s="5" customFormat="1" ht="15" customHeight="1" x14ac:dyDescent="0.2">
      <c r="Q1" s="32"/>
    </row>
    <row r="2" spans="2:17" s="5" customFormat="1" ht="15" customHeight="1" x14ac:dyDescent="0.2">
      <c r="I2" s="32" t="s">
        <v>403</v>
      </c>
      <c r="Q2" s="32"/>
    </row>
    <row r="3" spans="2:17" s="5" customFormat="1" ht="15" customHeight="1" x14ac:dyDescent="0.2">
      <c r="I3" s="32" t="s">
        <v>467</v>
      </c>
      <c r="Q3" s="32"/>
    </row>
    <row r="4" spans="2:17" x14ac:dyDescent="0.2">
      <c r="B4" s="24" t="s">
        <v>405</v>
      </c>
      <c r="I4" s="35" t="s">
        <v>369</v>
      </c>
    </row>
    <row r="5" spans="2:17" x14ac:dyDescent="0.2">
      <c r="B5" s="36" t="s">
        <v>12</v>
      </c>
    </row>
    <row r="6" spans="2:17" ht="30" x14ac:dyDescent="0.2">
      <c r="B6" s="100" t="s">
        <v>193</v>
      </c>
      <c r="C6" s="100" t="s">
        <v>18</v>
      </c>
      <c r="D6" s="100" t="s">
        <v>39</v>
      </c>
      <c r="E6" s="31" t="s">
        <v>141</v>
      </c>
      <c r="F6" s="31" t="s">
        <v>142</v>
      </c>
      <c r="G6" s="99" t="s">
        <v>143</v>
      </c>
      <c r="H6" s="99" t="s">
        <v>144</v>
      </c>
      <c r="I6" s="99" t="s">
        <v>145</v>
      </c>
      <c r="J6" s="99" t="s">
        <v>146</v>
      </c>
      <c r="K6" s="99" t="s">
        <v>147</v>
      </c>
      <c r="L6" s="99" t="s">
        <v>148</v>
      </c>
      <c r="M6" s="99" t="s">
        <v>149</v>
      </c>
      <c r="N6" s="99" t="s">
        <v>150</v>
      </c>
      <c r="O6" s="99" t="s">
        <v>151</v>
      </c>
      <c r="P6" s="99" t="s">
        <v>152</v>
      </c>
      <c r="Q6" s="101" t="s">
        <v>139</v>
      </c>
    </row>
    <row r="7" spans="2:17" ht="17.25" x14ac:dyDescent="0.2">
      <c r="B7" s="102">
        <v>1</v>
      </c>
      <c r="C7" s="103" t="s">
        <v>172</v>
      </c>
      <c r="D7" s="102" t="s">
        <v>42</v>
      </c>
      <c r="E7" s="195">
        <v>85</v>
      </c>
      <c r="F7" s="195">
        <v>85</v>
      </c>
      <c r="G7" s="195">
        <v>85</v>
      </c>
      <c r="H7" s="195">
        <v>85</v>
      </c>
      <c r="I7" s="195">
        <v>85</v>
      </c>
      <c r="J7" s="195">
        <v>85</v>
      </c>
      <c r="K7" s="195">
        <v>85</v>
      </c>
      <c r="L7" s="195">
        <v>85</v>
      </c>
      <c r="M7" s="195">
        <v>85</v>
      </c>
      <c r="N7" s="195">
        <v>85</v>
      </c>
      <c r="O7" s="195">
        <v>85</v>
      </c>
      <c r="P7" s="195">
        <v>85</v>
      </c>
      <c r="Q7" s="196">
        <v>85</v>
      </c>
    </row>
    <row r="8" spans="2:17" ht="17.25" x14ac:dyDescent="0.2">
      <c r="B8" s="102">
        <f>B7+1</f>
        <v>2</v>
      </c>
      <c r="C8" s="103" t="s">
        <v>194</v>
      </c>
      <c r="D8" s="102" t="s">
        <v>42</v>
      </c>
      <c r="E8" s="195">
        <v>90.75</v>
      </c>
      <c r="F8" s="195">
        <v>86.57</v>
      </c>
      <c r="G8" s="195">
        <v>88.93</v>
      </c>
      <c r="H8" s="195">
        <v>79.52</v>
      </c>
      <c r="I8" s="195">
        <v>87.14</v>
      </c>
      <c r="J8" s="195">
        <v>93.05</v>
      </c>
      <c r="K8" s="195">
        <v>89.14</v>
      </c>
      <c r="L8" s="195">
        <v>46.93</v>
      </c>
      <c r="M8" s="195">
        <v>0</v>
      </c>
      <c r="N8" s="195">
        <v>66.8</v>
      </c>
      <c r="O8" s="195">
        <v>95.85</v>
      </c>
      <c r="P8" s="195">
        <v>95.63</v>
      </c>
      <c r="Q8" s="196">
        <v>76.37</v>
      </c>
    </row>
    <row r="9" spans="2:17" ht="17.25" x14ac:dyDescent="0.2">
      <c r="B9" s="102">
        <f t="shared" ref="B9:B25" si="0">B8+1</f>
        <v>3</v>
      </c>
      <c r="C9" s="103" t="s">
        <v>195</v>
      </c>
      <c r="D9" s="102" t="s">
        <v>42</v>
      </c>
      <c r="E9" s="195">
        <v>92.46</v>
      </c>
      <c r="F9" s="195">
        <v>90.3</v>
      </c>
      <c r="G9" s="195">
        <v>90.4</v>
      </c>
      <c r="H9" s="195">
        <v>88.01</v>
      </c>
      <c r="I9" s="195">
        <v>88.17</v>
      </c>
      <c r="J9" s="195">
        <v>89.26</v>
      </c>
      <c r="K9" s="195">
        <v>87.83</v>
      </c>
      <c r="L9" s="195">
        <v>82.8</v>
      </c>
      <c r="M9" s="195">
        <v>73.47</v>
      </c>
      <c r="N9" s="195">
        <v>72.790000000000006</v>
      </c>
      <c r="O9" s="195">
        <v>74.72</v>
      </c>
      <c r="P9" s="195">
        <v>76.5</v>
      </c>
      <c r="Q9" s="196"/>
    </row>
    <row r="10" spans="2:17" ht="17.25" x14ac:dyDescent="0.2">
      <c r="B10" s="102">
        <f t="shared" si="0"/>
        <v>4</v>
      </c>
      <c r="C10" s="103" t="s">
        <v>43</v>
      </c>
      <c r="D10" s="102" t="s">
        <v>42</v>
      </c>
      <c r="E10" s="195">
        <v>85</v>
      </c>
      <c r="F10" s="195">
        <v>85</v>
      </c>
      <c r="G10" s="195">
        <v>85</v>
      </c>
      <c r="H10" s="195">
        <v>85</v>
      </c>
      <c r="I10" s="195">
        <v>85</v>
      </c>
      <c r="J10" s="195">
        <v>85</v>
      </c>
      <c r="K10" s="195">
        <v>85</v>
      </c>
      <c r="L10" s="195">
        <v>85</v>
      </c>
      <c r="M10" s="195">
        <v>85</v>
      </c>
      <c r="N10" s="195">
        <v>85</v>
      </c>
      <c r="O10" s="195">
        <v>85</v>
      </c>
      <c r="P10" s="195">
        <v>85</v>
      </c>
      <c r="Q10" s="196">
        <v>85</v>
      </c>
    </row>
    <row r="11" spans="2:17" ht="17.25" x14ac:dyDescent="0.2">
      <c r="B11" s="102">
        <f t="shared" si="0"/>
        <v>5</v>
      </c>
      <c r="C11" s="103" t="s">
        <v>196</v>
      </c>
      <c r="D11" s="102" t="s">
        <v>42</v>
      </c>
      <c r="E11" s="195">
        <v>83.887268518518496</v>
      </c>
      <c r="F11" s="195">
        <v>79.180779569892451</v>
      </c>
      <c r="G11" s="195">
        <v>80.572222222222223</v>
      </c>
      <c r="H11" s="195">
        <v>66.896953405017925</v>
      </c>
      <c r="I11" s="195">
        <v>65.612007168458788</v>
      </c>
      <c r="J11" s="195">
        <v>72.478472222222209</v>
      </c>
      <c r="K11" s="195">
        <v>68.596326164874554</v>
      </c>
      <c r="L11" s="195">
        <v>35.436805555555551</v>
      </c>
      <c r="M11" s="195">
        <v>0</v>
      </c>
      <c r="N11" s="195">
        <v>60.257616487455195</v>
      </c>
      <c r="O11" s="195">
        <v>93.484623015872998</v>
      </c>
      <c r="P11" s="195">
        <v>91.550179211469512</v>
      </c>
      <c r="Q11" s="196"/>
    </row>
    <row r="12" spans="2:17" ht="17.25" x14ac:dyDescent="0.2">
      <c r="B12" s="102">
        <f t="shared" si="0"/>
        <v>6</v>
      </c>
      <c r="C12" s="103" t="s">
        <v>197</v>
      </c>
      <c r="D12" s="102" t="s">
        <v>42</v>
      </c>
      <c r="E12" s="195">
        <v>83.887268518518496</v>
      </c>
      <c r="F12" s="195">
        <v>81.495446265938071</v>
      </c>
      <c r="G12" s="195">
        <v>81.191086691086682</v>
      </c>
      <c r="H12" s="195">
        <v>77.558970856101993</v>
      </c>
      <c r="I12" s="195">
        <v>75.13834422657952</v>
      </c>
      <c r="J12" s="195">
        <v>74.702299635701266</v>
      </c>
      <c r="K12" s="195">
        <v>73.817789460020762</v>
      </c>
      <c r="L12" s="195">
        <v>69.098816029143904</v>
      </c>
      <c r="M12" s="195">
        <v>61.309494949494955</v>
      </c>
      <c r="N12" s="195">
        <v>61.202932098765444</v>
      </c>
      <c r="O12" s="195">
        <v>63.909181636726558</v>
      </c>
      <c r="P12" s="195">
        <v>66.256773211567747</v>
      </c>
      <c r="Q12" s="196"/>
    </row>
    <row r="13" spans="2:17" ht="17.25" x14ac:dyDescent="0.2">
      <c r="B13" s="102">
        <f t="shared" si="0"/>
        <v>7</v>
      </c>
      <c r="C13" s="92" t="s">
        <v>198</v>
      </c>
      <c r="D13" s="105" t="s">
        <v>45</v>
      </c>
      <c r="E13" s="195">
        <v>362.39</v>
      </c>
      <c r="F13" s="195">
        <v>353.46</v>
      </c>
      <c r="G13" s="195">
        <v>348.07</v>
      </c>
      <c r="H13" s="195">
        <v>298.63</v>
      </c>
      <c r="I13" s="195">
        <v>292.89</v>
      </c>
      <c r="J13" s="195">
        <v>313.11</v>
      </c>
      <c r="K13" s="195">
        <v>306.20999999999998</v>
      </c>
      <c r="L13" s="195">
        <v>153.09</v>
      </c>
      <c r="M13" s="195">
        <v>0</v>
      </c>
      <c r="N13" s="195">
        <v>268.99</v>
      </c>
      <c r="O13" s="195">
        <v>376.93</v>
      </c>
      <c r="P13" s="195">
        <v>408.68</v>
      </c>
      <c r="Q13" s="196">
        <f>SUM(E13:P13)</f>
        <v>3482.45</v>
      </c>
    </row>
    <row r="14" spans="2:17" ht="17.25" x14ac:dyDescent="0.2">
      <c r="B14" s="102">
        <f t="shared" si="0"/>
        <v>8</v>
      </c>
      <c r="C14" s="92" t="s">
        <v>199</v>
      </c>
      <c r="D14" s="105" t="s">
        <v>45</v>
      </c>
      <c r="E14" s="195">
        <v>21.73</v>
      </c>
      <c r="F14" s="195">
        <v>22.7</v>
      </c>
      <c r="G14" s="195">
        <v>21.57</v>
      </c>
      <c r="H14" s="195">
        <v>21.22</v>
      </c>
      <c r="I14" s="195">
        <v>19.3</v>
      </c>
      <c r="J14" s="195">
        <v>19.61</v>
      </c>
      <c r="K14" s="195">
        <v>20.079999999999998</v>
      </c>
      <c r="L14" s="195">
        <v>12.93</v>
      </c>
      <c r="M14" s="195">
        <v>2.19</v>
      </c>
      <c r="N14" s="195">
        <v>16.28</v>
      </c>
      <c r="O14" s="195">
        <v>19.97</v>
      </c>
      <c r="P14" s="195">
        <v>22.73</v>
      </c>
      <c r="Q14" s="196">
        <f t="shared" ref="Q14:Q24" si="1">SUM(E14:P14)</f>
        <v>220.30999999999997</v>
      </c>
    </row>
    <row r="15" spans="2:17" ht="17.25" x14ac:dyDescent="0.2">
      <c r="B15" s="102">
        <f t="shared" si="0"/>
        <v>9</v>
      </c>
      <c r="C15" s="92" t="s">
        <v>216</v>
      </c>
      <c r="D15" s="105" t="s">
        <v>45</v>
      </c>
      <c r="E15" s="195">
        <v>340.65999999999997</v>
      </c>
      <c r="F15" s="195">
        <v>330.76</v>
      </c>
      <c r="G15" s="195">
        <v>326.5</v>
      </c>
      <c r="H15" s="195">
        <v>277.40999999999997</v>
      </c>
      <c r="I15" s="195">
        <v>273.58999999999997</v>
      </c>
      <c r="J15" s="195">
        <v>293.5</v>
      </c>
      <c r="K15" s="195">
        <v>286.13</v>
      </c>
      <c r="L15" s="195">
        <v>140.16</v>
      </c>
      <c r="M15" s="195">
        <v>-2.19</v>
      </c>
      <c r="N15" s="195">
        <v>252.71</v>
      </c>
      <c r="O15" s="195">
        <v>356.96000000000004</v>
      </c>
      <c r="P15" s="195">
        <v>385.95</v>
      </c>
      <c r="Q15" s="196">
        <f t="shared" si="1"/>
        <v>3262.1399999999994</v>
      </c>
    </row>
    <row r="16" spans="2:17" ht="17.25" x14ac:dyDescent="0.2">
      <c r="B16" s="102">
        <f t="shared" si="0"/>
        <v>10</v>
      </c>
      <c r="C16" s="92" t="s">
        <v>217</v>
      </c>
      <c r="D16" s="105" t="s">
        <v>45</v>
      </c>
      <c r="E16" s="195">
        <v>0</v>
      </c>
      <c r="F16" s="195">
        <v>0</v>
      </c>
      <c r="G16" s="195">
        <v>0</v>
      </c>
      <c r="H16" s="195">
        <v>0</v>
      </c>
      <c r="I16" s="195">
        <v>0</v>
      </c>
      <c r="J16" s="195">
        <v>0</v>
      </c>
      <c r="K16" s="195">
        <v>0</v>
      </c>
      <c r="L16" s="195">
        <v>0</v>
      </c>
      <c r="M16" s="195">
        <v>0</v>
      </c>
      <c r="N16" s="195">
        <v>0</v>
      </c>
      <c r="O16" s="195">
        <v>0</v>
      </c>
      <c r="P16" s="195">
        <v>0</v>
      </c>
      <c r="Q16" s="196"/>
    </row>
    <row r="17" spans="2:17" ht="17.25" x14ac:dyDescent="0.2">
      <c r="B17" s="102">
        <f t="shared" si="0"/>
        <v>11</v>
      </c>
      <c r="C17" s="92" t="s">
        <v>200</v>
      </c>
      <c r="D17" s="105" t="s">
        <v>204</v>
      </c>
      <c r="E17" s="194">
        <v>3.16</v>
      </c>
      <c r="F17" s="194">
        <v>3.16</v>
      </c>
      <c r="G17" s="194">
        <v>3.16</v>
      </c>
      <c r="H17" s="194">
        <v>3.16</v>
      </c>
      <c r="I17" s="194">
        <v>3.16</v>
      </c>
      <c r="J17" s="194">
        <v>3.16</v>
      </c>
      <c r="K17" s="194">
        <v>3.16</v>
      </c>
      <c r="L17" s="194">
        <v>3.16</v>
      </c>
      <c r="M17" s="194">
        <v>3.16</v>
      </c>
      <c r="N17" s="194">
        <v>3.16</v>
      </c>
      <c r="O17" s="194">
        <v>3.16</v>
      </c>
      <c r="P17" s="194">
        <v>3.16</v>
      </c>
      <c r="Q17" s="196"/>
    </row>
    <row r="18" spans="2:17" ht="17.25" x14ac:dyDescent="0.2">
      <c r="B18" s="102">
        <f t="shared" si="0"/>
        <v>12</v>
      </c>
      <c r="C18" s="92" t="s">
        <v>218</v>
      </c>
      <c r="D18" s="105" t="s">
        <v>205</v>
      </c>
      <c r="E18" s="195">
        <v>50.973333333333329</v>
      </c>
      <c r="F18" s="195">
        <v>50.973333333333329</v>
      </c>
      <c r="G18" s="195">
        <v>50.973333333333329</v>
      </c>
      <c r="H18" s="195">
        <v>50.973333333333329</v>
      </c>
      <c r="I18" s="195">
        <v>50.973333333333329</v>
      </c>
      <c r="J18" s="195">
        <v>50.973333333333329</v>
      </c>
      <c r="K18" s="195">
        <v>50.973333333333329</v>
      </c>
      <c r="L18" s="195">
        <v>50.973333333333329</v>
      </c>
      <c r="M18" s="195">
        <v>50.973333333333329</v>
      </c>
      <c r="N18" s="195">
        <v>50.973333333333329</v>
      </c>
      <c r="O18" s="195">
        <v>50.973333333333329</v>
      </c>
      <c r="P18" s="195">
        <v>50.973333333333329</v>
      </c>
      <c r="Q18" s="196">
        <f t="shared" si="1"/>
        <v>611.68000000000006</v>
      </c>
    </row>
    <row r="19" spans="2:17" ht="17.25" x14ac:dyDescent="0.2">
      <c r="B19" s="102">
        <f t="shared" si="0"/>
        <v>13</v>
      </c>
      <c r="C19" s="92" t="s">
        <v>367</v>
      </c>
      <c r="D19" s="105" t="s">
        <v>204</v>
      </c>
      <c r="E19" s="194">
        <v>3.395</v>
      </c>
      <c r="F19" s="194">
        <v>3.5790000000000002</v>
      </c>
      <c r="G19" s="194">
        <v>3.6520000000000001</v>
      </c>
      <c r="H19" s="194">
        <v>3.714</v>
      </c>
      <c r="I19" s="194">
        <v>3.6949999999999998</v>
      </c>
      <c r="J19" s="194">
        <v>3.625</v>
      </c>
      <c r="K19" s="194">
        <v>3.601</v>
      </c>
      <c r="L19" s="194">
        <v>3.617</v>
      </c>
      <c r="M19" s="194">
        <v>3.6139999999999999</v>
      </c>
      <c r="N19" s="194">
        <v>3.6389999999999998</v>
      </c>
      <c r="O19" s="194">
        <v>3.6440000000000001</v>
      </c>
      <c r="P19" s="194">
        <v>3.6269999999999998</v>
      </c>
      <c r="Q19" s="196"/>
    </row>
    <row r="20" spans="2:17" ht="17.25" x14ac:dyDescent="0.2">
      <c r="B20" s="102">
        <f t="shared" si="0"/>
        <v>14</v>
      </c>
      <c r="C20" s="92" t="s">
        <v>201</v>
      </c>
      <c r="D20" s="105" t="s">
        <v>205</v>
      </c>
      <c r="E20" s="195">
        <v>50.973333333333329</v>
      </c>
      <c r="F20" s="195">
        <v>50.973333333333329</v>
      </c>
      <c r="G20" s="195">
        <v>50.973333333333329</v>
      </c>
      <c r="H20" s="195">
        <v>50.973333333333329</v>
      </c>
      <c r="I20" s="195">
        <v>50.973333333333329</v>
      </c>
      <c r="J20" s="195">
        <v>50.973333333333329</v>
      </c>
      <c r="K20" s="195">
        <v>50.973333333333272</v>
      </c>
      <c r="L20" s="195">
        <v>40.418854902</v>
      </c>
      <c r="M20" s="195">
        <v>-0.70163294100000007</v>
      </c>
      <c r="N20" s="195">
        <v>39.981083922000003</v>
      </c>
      <c r="O20" s="195">
        <v>56.382503528999997</v>
      </c>
      <c r="P20" s="195">
        <v>56.682346666999997</v>
      </c>
      <c r="Q20" s="196">
        <f t="shared" si="1"/>
        <v>549.57648941233333</v>
      </c>
    </row>
    <row r="21" spans="2:17" ht="17.25" x14ac:dyDescent="0.2">
      <c r="B21" s="102">
        <f t="shared" si="0"/>
        <v>15</v>
      </c>
      <c r="C21" s="92" t="s">
        <v>368</v>
      </c>
      <c r="D21" s="105" t="s">
        <v>205</v>
      </c>
      <c r="E21" s="195">
        <v>99.644446312566359</v>
      </c>
      <c r="F21" s="195">
        <v>96.748245863818966</v>
      </c>
      <c r="G21" s="195">
        <v>95.502797879208941</v>
      </c>
      <c r="H21" s="195">
        <v>81.142154586851731</v>
      </c>
      <c r="I21" s="195">
        <v>80.024855641999991</v>
      </c>
      <c r="J21" s="195">
        <v>85.846977205809395</v>
      </c>
      <c r="K21" s="195">
        <v>83.695487339132129</v>
      </c>
      <c r="L21" s="195">
        <v>44.290201756000002</v>
      </c>
      <c r="M21" s="195">
        <v>-0.6919319712555736</v>
      </c>
      <c r="N21" s="195">
        <v>79.857226433940056</v>
      </c>
      <c r="O21" s="195">
        <v>112.80065227701721</v>
      </c>
      <c r="P21" s="195">
        <v>121.95985961008573</v>
      </c>
      <c r="Q21" s="196">
        <f t="shared" si="1"/>
        <v>980.82097293517472</v>
      </c>
    </row>
    <row r="22" spans="2:17" ht="17.25" x14ac:dyDescent="0.2">
      <c r="B22" s="102">
        <f t="shared" si="0"/>
        <v>16</v>
      </c>
      <c r="C22" s="92" t="s">
        <v>219</v>
      </c>
      <c r="D22" s="105" t="s">
        <v>205</v>
      </c>
      <c r="E22" s="195">
        <v>16.001154612471996</v>
      </c>
      <c r="F22" s="195">
        <v>21.616673393181024</v>
      </c>
      <c r="G22" s="195">
        <v>23.730864515266667</v>
      </c>
      <c r="H22" s="195">
        <v>21.893858985137761</v>
      </c>
      <c r="I22" s="195">
        <v>21.054388834145652</v>
      </c>
      <c r="J22" s="195">
        <v>20.536521120365645</v>
      </c>
      <c r="K22" s="195">
        <v>19.34390537700634</v>
      </c>
      <c r="L22" s="195">
        <v>6.4114501766490397</v>
      </c>
      <c r="M22" s="195">
        <v>-9.9385296806039844E-2</v>
      </c>
      <c r="N22" s="195">
        <v>12.100092077485622</v>
      </c>
      <c r="O22" s="195">
        <v>17.259592361323904</v>
      </c>
      <c r="P22" s="195">
        <v>18.021325257907151</v>
      </c>
      <c r="Q22" s="196">
        <f t="shared" si="1"/>
        <v>197.87044141413475</v>
      </c>
    </row>
    <row r="23" spans="2:17" ht="17.25" x14ac:dyDescent="0.2">
      <c r="B23" s="102">
        <f t="shared" si="0"/>
        <v>17</v>
      </c>
      <c r="C23" s="92" t="s">
        <v>202</v>
      </c>
      <c r="D23" s="105" t="s">
        <v>205</v>
      </c>
      <c r="E23" s="195"/>
      <c r="F23" s="195"/>
      <c r="G23" s="195"/>
      <c r="H23" s="195"/>
      <c r="I23" s="195"/>
      <c r="J23" s="195"/>
      <c r="K23" s="195"/>
      <c r="L23" s="195"/>
      <c r="M23" s="195"/>
      <c r="N23" s="195"/>
      <c r="O23" s="195"/>
      <c r="P23" s="195"/>
      <c r="Q23" s="196">
        <f t="shared" si="1"/>
        <v>0</v>
      </c>
    </row>
    <row r="24" spans="2:17" ht="17.25" x14ac:dyDescent="0.2">
      <c r="B24" s="102">
        <f t="shared" si="0"/>
        <v>18</v>
      </c>
      <c r="C24" s="107" t="s">
        <v>155</v>
      </c>
      <c r="D24" s="105" t="s">
        <v>205</v>
      </c>
      <c r="E24" s="196">
        <v>166.6189342583717</v>
      </c>
      <c r="F24" s="196">
        <v>169.33825259033333</v>
      </c>
      <c r="G24" s="196">
        <v>170.20699572780893</v>
      </c>
      <c r="H24" s="196">
        <v>154.00934690532281</v>
      </c>
      <c r="I24" s="196">
        <v>152.05257780947898</v>
      </c>
      <c r="J24" s="196">
        <v>157.35683165950837</v>
      </c>
      <c r="K24" s="196">
        <v>154.01272604947175</v>
      </c>
      <c r="L24" s="196">
        <v>91.120506834649049</v>
      </c>
      <c r="M24" s="196">
        <v>-1.4929502090616136</v>
      </c>
      <c r="N24" s="196">
        <v>131.93840243342567</v>
      </c>
      <c r="O24" s="196">
        <v>186.44274816734111</v>
      </c>
      <c r="P24" s="196">
        <v>196.6635315349929</v>
      </c>
      <c r="Q24" s="196">
        <f t="shared" si="1"/>
        <v>1728.2679037616429</v>
      </c>
    </row>
    <row r="25" spans="2:17" ht="17.25" x14ac:dyDescent="0.2">
      <c r="B25" s="102">
        <f t="shared" si="0"/>
        <v>19</v>
      </c>
      <c r="C25" s="109" t="s">
        <v>203</v>
      </c>
      <c r="D25" s="105"/>
      <c r="E25" s="195"/>
      <c r="F25" s="195"/>
      <c r="G25" s="195"/>
      <c r="H25" s="195"/>
      <c r="I25" s="195"/>
      <c r="J25" s="195"/>
      <c r="K25" s="195"/>
      <c r="L25" s="195"/>
      <c r="M25" s="195"/>
      <c r="N25" s="195"/>
      <c r="O25" s="195"/>
      <c r="P25" s="195"/>
      <c r="Q25" s="196"/>
    </row>
    <row r="26" spans="2:17" ht="33" x14ac:dyDescent="0.2">
      <c r="B26" s="159" t="s">
        <v>457</v>
      </c>
      <c r="C26" s="160" t="s">
        <v>458</v>
      </c>
      <c r="D26" s="161" t="s">
        <v>205</v>
      </c>
      <c r="E26" s="195"/>
      <c r="F26" s="195"/>
      <c r="G26" s="195"/>
      <c r="H26" s="195"/>
      <c r="I26" s="195"/>
      <c r="J26" s="195"/>
      <c r="K26" s="195"/>
      <c r="L26" s="195"/>
      <c r="M26" s="195"/>
      <c r="N26" s="195"/>
      <c r="O26" s="195"/>
      <c r="P26" s="195"/>
      <c r="Q26" s="196">
        <v>50.08</v>
      </c>
    </row>
    <row r="27" spans="2:17" ht="33" x14ac:dyDescent="0.2">
      <c r="B27" s="159" t="s">
        <v>457</v>
      </c>
      <c r="C27" s="160" t="s">
        <v>459</v>
      </c>
      <c r="D27" s="161" t="s">
        <v>205</v>
      </c>
      <c r="E27" s="195"/>
      <c r="F27" s="195"/>
      <c r="G27" s="195"/>
      <c r="H27" s="195"/>
      <c r="I27" s="195"/>
      <c r="J27" s="195"/>
      <c r="K27" s="195"/>
      <c r="L27" s="195"/>
      <c r="M27" s="195"/>
      <c r="N27" s="195"/>
      <c r="O27" s="195"/>
      <c r="P27" s="195"/>
      <c r="Q27" s="196">
        <v>26.7</v>
      </c>
    </row>
    <row r="28" spans="2:17" ht="17.25" x14ac:dyDescent="0.2">
      <c r="B28" s="159" t="s">
        <v>457</v>
      </c>
      <c r="C28" s="160" t="s">
        <v>105</v>
      </c>
      <c r="D28" s="161" t="s">
        <v>205</v>
      </c>
      <c r="E28" s="195"/>
      <c r="F28" s="195"/>
      <c r="G28" s="195"/>
      <c r="H28" s="195"/>
      <c r="I28" s="195"/>
      <c r="J28" s="195"/>
      <c r="K28" s="195"/>
      <c r="L28" s="195"/>
      <c r="M28" s="195"/>
      <c r="N28" s="195"/>
      <c r="O28" s="195"/>
      <c r="P28" s="195"/>
      <c r="Q28" s="196">
        <v>1.76</v>
      </c>
    </row>
    <row r="29" spans="2:17" ht="33" x14ac:dyDescent="0.2">
      <c r="B29" s="159" t="s">
        <v>457</v>
      </c>
      <c r="C29" s="160" t="s">
        <v>460</v>
      </c>
      <c r="D29" s="161" t="s">
        <v>205</v>
      </c>
      <c r="E29" s="195"/>
      <c r="F29" s="195"/>
      <c r="G29" s="195"/>
      <c r="H29" s="195"/>
      <c r="I29" s="195"/>
      <c r="J29" s="195"/>
      <c r="K29" s="195"/>
      <c r="L29" s="195"/>
      <c r="M29" s="195"/>
      <c r="N29" s="195"/>
      <c r="O29" s="195"/>
      <c r="P29" s="195"/>
      <c r="Q29" s="196"/>
    </row>
    <row r="30" spans="2:17" ht="17.25" x14ac:dyDescent="0.2">
      <c r="B30" s="105">
        <f>B25+1</f>
        <v>20</v>
      </c>
      <c r="C30" s="91" t="s">
        <v>170</v>
      </c>
      <c r="D30" s="105" t="s">
        <v>205</v>
      </c>
      <c r="E30" s="196">
        <v>166.6189342583717</v>
      </c>
      <c r="F30" s="196">
        <v>169.33825259033333</v>
      </c>
      <c r="G30" s="196">
        <v>170.20699572780893</v>
      </c>
      <c r="H30" s="196">
        <v>154.00934690532281</v>
      </c>
      <c r="I30" s="196">
        <v>152.05257780947898</v>
      </c>
      <c r="J30" s="196">
        <v>157.35683165950837</v>
      </c>
      <c r="K30" s="196">
        <v>154.01272604947175</v>
      </c>
      <c r="L30" s="196">
        <v>91.120506834649049</v>
      </c>
      <c r="M30" s="196">
        <v>-1.4929502090616136</v>
      </c>
      <c r="N30" s="196">
        <v>131.93840243342567</v>
      </c>
      <c r="O30" s="196">
        <v>186.44274816734111</v>
      </c>
      <c r="P30" s="196">
        <v>196.6635315349929</v>
      </c>
      <c r="Q30" s="196">
        <f>Q24+Q26+Q27+Q28</f>
        <v>1806.8079037616428</v>
      </c>
    </row>
    <row r="31" spans="2:17" ht="17.25" x14ac:dyDescent="0.2">
      <c r="B31" s="105">
        <f>B30+1</f>
        <v>21</v>
      </c>
      <c r="C31" s="91" t="s">
        <v>206</v>
      </c>
      <c r="D31" s="105" t="s">
        <v>205</v>
      </c>
      <c r="E31" s="195"/>
      <c r="F31" s="195"/>
      <c r="G31" s="195"/>
      <c r="H31" s="195"/>
      <c r="I31" s="195"/>
      <c r="J31" s="195"/>
      <c r="K31" s="195"/>
      <c r="L31" s="195"/>
      <c r="M31" s="195"/>
      <c r="N31" s="195"/>
      <c r="O31" s="195"/>
      <c r="P31" s="195"/>
      <c r="Q31" s="196"/>
    </row>
  </sheetData>
  <pageMargins left="0.2" right="0.2" top="0.25" bottom="0.25" header="0.3" footer="0.3"/>
  <pageSetup paperSize="9"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
  <sheetViews>
    <sheetView showGridLines="0" view="pageBreakPreview" zoomScale="95" zoomScaleNormal="95" zoomScaleSheetLayoutView="95" workbookViewId="0">
      <selection activeCell="G19" sqref="G19"/>
    </sheetView>
  </sheetViews>
  <sheetFormatPr defaultColWidth="9.28515625" defaultRowHeight="14.25" x14ac:dyDescent="0.2"/>
  <cols>
    <col min="1" max="1" width="3.28515625" style="5" customWidth="1"/>
    <col min="2" max="2" width="5.7109375" style="5" customWidth="1"/>
    <col min="3" max="3" width="20.7109375" style="5" customWidth="1"/>
    <col min="4" max="4" width="11.85546875" style="5" customWidth="1"/>
    <col min="5" max="5" width="11.5703125" style="5" customWidth="1"/>
    <col min="6" max="6" width="11.7109375" style="5" customWidth="1"/>
    <col min="7" max="7" width="10.7109375" style="5" customWidth="1"/>
    <col min="8" max="8" width="9.5703125" style="5" customWidth="1"/>
    <col min="9" max="10" width="10.28515625" style="5" customWidth="1"/>
    <col min="11" max="11" width="13.7109375" style="5" customWidth="1"/>
    <col min="12" max="16384" width="9.28515625" style="5"/>
  </cols>
  <sheetData>
    <row r="1" spans="2:11" ht="15" x14ac:dyDescent="0.2">
      <c r="C1" s="36"/>
      <c r="D1" s="36"/>
      <c r="E1" s="36"/>
      <c r="F1" s="36"/>
      <c r="G1" s="36"/>
      <c r="I1" s="33"/>
      <c r="J1" s="33"/>
      <c r="K1" s="36"/>
    </row>
    <row r="2" spans="2:11" ht="15" x14ac:dyDescent="0.2">
      <c r="B2" s="289" t="s">
        <v>403</v>
      </c>
      <c r="C2" s="289"/>
      <c r="D2" s="289"/>
      <c r="E2" s="289"/>
      <c r="F2" s="289"/>
      <c r="G2" s="289"/>
      <c r="H2" s="289"/>
      <c r="I2" s="289"/>
      <c r="J2" s="289"/>
      <c r="K2" s="289"/>
    </row>
    <row r="3" spans="2:11" ht="15" x14ac:dyDescent="0.2">
      <c r="B3" s="289" t="s">
        <v>467</v>
      </c>
      <c r="C3" s="289"/>
      <c r="D3" s="289"/>
      <c r="E3" s="289"/>
      <c r="F3" s="289"/>
      <c r="G3" s="289"/>
      <c r="H3" s="289"/>
      <c r="I3" s="289"/>
      <c r="J3" s="289"/>
      <c r="K3" s="289"/>
    </row>
    <row r="4" spans="2:11" ht="15" x14ac:dyDescent="0.2">
      <c r="B4" s="289" t="s">
        <v>377</v>
      </c>
      <c r="C4" s="289"/>
      <c r="D4" s="289"/>
      <c r="E4" s="289"/>
      <c r="F4" s="289"/>
      <c r="G4" s="289"/>
      <c r="H4" s="289"/>
      <c r="I4" s="289"/>
      <c r="J4" s="289"/>
      <c r="K4" s="289"/>
    </row>
    <row r="5" spans="2:11" ht="15" x14ac:dyDescent="0.2">
      <c r="B5" s="35"/>
      <c r="C5" s="35"/>
      <c r="D5" s="35"/>
      <c r="E5" s="35"/>
      <c r="F5" s="35"/>
      <c r="G5" s="35"/>
      <c r="H5" s="35"/>
      <c r="I5" s="35"/>
      <c r="J5" s="35"/>
      <c r="K5" s="35"/>
    </row>
    <row r="6" spans="2:11" ht="15" x14ac:dyDescent="0.2">
      <c r="B6" s="290" t="s">
        <v>68</v>
      </c>
      <c r="C6" s="290"/>
      <c r="D6" s="290"/>
      <c r="E6" s="290"/>
      <c r="F6" s="290"/>
      <c r="G6" s="290"/>
      <c r="H6" s="290"/>
      <c r="I6" s="290"/>
      <c r="J6" s="290"/>
      <c r="K6" s="290"/>
    </row>
    <row r="7" spans="2:11" ht="15" x14ac:dyDescent="0.2">
      <c r="K7" s="26" t="s">
        <v>4</v>
      </c>
    </row>
    <row r="8" spans="2:11" ht="15" customHeight="1" x14ac:dyDescent="0.2">
      <c r="B8" s="291" t="s">
        <v>193</v>
      </c>
      <c r="C8" s="291" t="s">
        <v>18</v>
      </c>
      <c r="D8" s="292" t="s">
        <v>1</v>
      </c>
      <c r="E8" s="286" t="s">
        <v>405</v>
      </c>
      <c r="F8" s="287"/>
      <c r="G8" s="288"/>
      <c r="H8" s="286" t="s">
        <v>406</v>
      </c>
      <c r="I8" s="288"/>
      <c r="J8" s="286" t="s">
        <v>466</v>
      </c>
      <c r="K8" s="288"/>
    </row>
    <row r="9" spans="2:11" ht="75" x14ac:dyDescent="0.2">
      <c r="B9" s="291"/>
      <c r="C9" s="291"/>
      <c r="D9" s="293"/>
      <c r="E9" s="15" t="s">
        <v>370</v>
      </c>
      <c r="F9" s="15" t="s">
        <v>240</v>
      </c>
      <c r="G9" s="15" t="s">
        <v>464</v>
      </c>
      <c r="H9" s="15" t="s">
        <v>370</v>
      </c>
      <c r="I9" s="15" t="s">
        <v>239</v>
      </c>
      <c r="J9" s="15" t="s">
        <v>370</v>
      </c>
      <c r="K9" s="15" t="s">
        <v>239</v>
      </c>
    </row>
    <row r="10" spans="2:11" ht="30" x14ac:dyDescent="0.2">
      <c r="B10" s="291"/>
      <c r="C10" s="291"/>
      <c r="D10" s="294"/>
      <c r="E10" s="15" t="s">
        <v>10</v>
      </c>
      <c r="F10" s="15" t="s">
        <v>12</v>
      </c>
      <c r="G10" s="15" t="s">
        <v>231</v>
      </c>
      <c r="H10" s="15" t="s">
        <v>10</v>
      </c>
      <c r="I10" s="15" t="s">
        <v>463</v>
      </c>
      <c r="J10" s="15" t="s">
        <v>10</v>
      </c>
      <c r="K10" s="15" t="s">
        <v>463</v>
      </c>
    </row>
    <row r="11" spans="2:11" x14ac:dyDescent="0.2">
      <c r="B11" s="20">
        <v>1</v>
      </c>
      <c r="C11" s="29" t="s">
        <v>69</v>
      </c>
      <c r="D11" s="29" t="s">
        <v>24</v>
      </c>
      <c r="E11" s="126"/>
      <c r="F11" s="144">
        <f>F2.1!D36</f>
        <v>227</v>
      </c>
      <c r="G11" s="144">
        <f>F11</f>
        <v>227</v>
      </c>
      <c r="H11" s="126"/>
      <c r="I11" s="144">
        <f>F2.1!E36</f>
        <v>238.27</v>
      </c>
      <c r="J11" s="126"/>
      <c r="K11" s="144">
        <f>F2.1!F36</f>
        <v>247.81</v>
      </c>
    </row>
    <row r="12" spans="2:11" x14ac:dyDescent="0.2">
      <c r="B12" s="20">
        <f>B11+1</f>
        <v>2</v>
      </c>
      <c r="C12" s="37" t="s">
        <v>241</v>
      </c>
      <c r="D12" s="37" t="s">
        <v>25</v>
      </c>
      <c r="E12" s="131"/>
      <c r="F12" s="145">
        <f>F2.2!D38</f>
        <v>8.24</v>
      </c>
      <c r="G12" s="144">
        <f t="shared" ref="G12:G13" si="0">F12</f>
        <v>8.24</v>
      </c>
      <c r="H12" s="126"/>
      <c r="I12" s="144">
        <f>F2.2!E38</f>
        <v>9.0299999999999994</v>
      </c>
      <c r="J12" s="126"/>
      <c r="K12" s="144">
        <f>F2.2!F38</f>
        <v>9.57</v>
      </c>
    </row>
    <row r="13" spans="2:11" x14ac:dyDescent="0.2">
      <c r="B13" s="20">
        <f>B12+1</f>
        <v>3</v>
      </c>
      <c r="C13" s="29" t="s">
        <v>211</v>
      </c>
      <c r="D13" s="29" t="s">
        <v>267</v>
      </c>
      <c r="E13" s="126"/>
      <c r="F13" s="144">
        <f>F2.3!D18</f>
        <v>45.9</v>
      </c>
      <c r="G13" s="144">
        <f t="shared" si="0"/>
        <v>45.9</v>
      </c>
      <c r="H13" s="126"/>
      <c r="I13" s="144">
        <f>F2.3!E18</f>
        <v>48.7</v>
      </c>
      <c r="J13" s="126"/>
      <c r="K13" s="144">
        <f>F2.3!F18</f>
        <v>51.61</v>
      </c>
    </row>
    <row r="14" spans="2:11" ht="15" x14ac:dyDescent="0.2">
      <c r="B14" s="20">
        <f>B13+1</f>
        <v>4</v>
      </c>
      <c r="C14" s="29" t="s">
        <v>70</v>
      </c>
      <c r="D14" s="29"/>
      <c r="E14" s="146">
        <v>204.77</v>
      </c>
      <c r="F14" s="146">
        <f t="shared" ref="F14:K14" si="1">ROUND(SUM(F11:F13),2)</f>
        <v>281.14</v>
      </c>
      <c r="G14" s="146">
        <f t="shared" si="1"/>
        <v>281.14</v>
      </c>
      <c r="H14" s="146">
        <v>216.29</v>
      </c>
      <c r="I14" s="146">
        <f t="shared" si="1"/>
        <v>296</v>
      </c>
      <c r="J14" s="146">
        <v>228.47</v>
      </c>
      <c r="K14" s="146">
        <f t="shared" si="1"/>
        <v>308.99</v>
      </c>
    </row>
    <row r="15" spans="2:11" x14ac:dyDescent="0.2">
      <c r="B15" s="49" t="s">
        <v>242</v>
      </c>
      <c r="C15" s="50"/>
      <c r="D15" s="47"/>
      <c r="E15" s="164"/>
      <c r="F15" s="47"/>
      <c r="G15" s="48"/>
      <c r="H15" s="48"/>
      <c r="I15" s="48"/>
      <c r="J15" s="48"/>
      <c r="K15" s="48"/>
    </row>
    <row r="16" spans="2:11" x14ac:dyDescent="0.2">
      <c r="B16" s="51">
        <v>1</v>
      </c>
      <c r="C16" s="50" t="s">
        <v>243</v>
      </c>
    </row>
  </sheetData>
  <mergeCells count="10">
    <mergeCell ref="B4:K4"/>
    <mergeCell ref="B3:K3"/>
    <mergeCell ref="B2:K2"/>
    <mergeCell ref="B6:K6"/>
    <mergeCell ref="B8:B10"/>
    <mergeCell ref="C8:C10"/>
    <mergeCell ref="H8:I8"/>
    <mergeCell ref="E8:G8"/>
    <mergeCell ref="D8:D10"/>
    <mergeCell ref="J8:K8"/>
  </mergeCell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H38"/>
  <sheetViews>
    <sheetView showGridLines="0" view="pageBreakPreview" topLeftCell="A18" zoomScale="98" zoomScaleNormal="95" zoomScaleSheetLayoutView="98" workbookViewId="0">
      <selection activeCell="D36" sqref="D36:F36"/>
    </sheetView>
  </sheetViews>
  <sheetFormatPr defaultColWidth="9.28515625" defaultRowHeight="14.25" x14ac:dyDescent="0.2"/>
  <cols>
    <col min="1" max="1" width="4.140625" style="13" customWidth="1"/>
    <col min="2" max="2" width="7" style="13" customWidth="1"/>
    <col min="3" max="3" width="40.7109375" style="13" customWidth="1"/>
    <col min="4" max="4" width="12.7109375" style="13" customWidth="1"/>
    <col min="5" max="5" width="13.28515625" style="13" customWidth="1"/>
    <col min="6" max="6" width="11.85546875" style="13" customWidth="1"/>
    <col min="7" max="7" width="9.28515625" style="13"/>
    <col min="8" max="8" width="16.28515625" style="13" bestFit="1" customWidth="1"/>
    <col min="9" max="16384" width="9.28515625" style="13"/>
  </cols>
  <sheetData>
    <row r="2" spans="2:8" ht="14.25" customHeight="1" x14ac:dyDescent="0.2">
      <c r="B2" s="289" t="s">
        <v>403</v>
      </c>
      <c r="C2" s="289"/>
      <c r="D2" s="289"/>
      <c r="E2" s="289"/>
      <c r="F2" s="289"/>
    </row>
    <row r="3" spans="2:8" ht="14.25" customHeight="1" x14ac:dyDescent="0.2">
      <c r="B3" s="289" t="s">
        <v>467</v>
      </c>
      <c r="C3" s="289"/>
      <c r="D3" s="289"/>
      <c r="E3" s="289"/>
      <c r="F3" s="289"/>
    </row>
    <row r="4" spans="2:8" s="4" customFormat="1" ht="14.25" customHeight="1" x14ac:dyDescent="0.2">
      <c r="B4" s="289" t="s">
        <v>268</v>
      </c>
      <c r="C4" s="289"/>
      <c r="D4" s="289"/>
      <c r="E4" s="289"/>
      <c r="F4" s="289"/>
    </row>
    <row r="5" spans="2:8" s="4" customFormat="1" ht="3" customHeight="1" x14ac:dyDescent="0.25">
      <c r="C5" s="40"/>
      <c r="D5" s="41"/>
      <c r="E5" s="41"/>
    </row>
    <row r="6" spans="2:8" ht="15" x14ac:dyDescent="0.2">
      <c r="F6" s="26" t="s">
        <v>4</v>
      </c>
    </row>
    <row r="7" spans="2:8" ht="12.75" customHeight="1" x14ac:dyDescent="0.2">
      <c r="B7" s="282" t="s">
        <v>2</v>
      </c>
      <c r="C7" s="282" t="s">
        <v>18</v>
      </c>
      <c r="D7" s="15" t="s">
        <v>405</v>
      </c>
      <c r="E7" s="15" t="s">
        <v>406</v>
      </c>
      <c r="F7" s="23" t="s">
        <v>466</v>
      </c>
    </row>
    <row r="8" spans="2:8" ht="15" x14ac:dyDescent="0.2">
      <c r="B8" s="282"/>
      <c r="C8" s="282"/>
      <c r="D8" s="15" t="s">
        <v>240</v>
      </c>
      <c r="E8" s="15" t="s">
        <v>239</v>
      </c>
      <c r="F8" s="15" t="s">
        <v>239</v>
      </c>
    </row>
    <row r="9" spans="2:8" ht="15" x14ac:dyDescent="0.2">
      <c r="B9" s="295"/>
      <c r="C9" s="282"/>
      <c r="D9" s="15" t="s">
        <v>12</v>
      </c>
      <c r="E9" s="15" t="s">
        <v>5</v>
      </c>
      <c r="F9" s="15" t="s">
        <v>8</v>
      </c>
    </row>
    <row r="10" spans="2:8" ht="18" customHeight="1" x14ac:dyDescent="0.2">
      <c r="B10" s="2">
        <v>1</v>
      </c>
      <c r="C10" s="42" t="s">
        <v>73</v>
      </c>
      <c r="D10" s="266">
        <v>114.55912303984962</v>
      </c>
      <c r="E10" s="266">
        <v>120.07377410463046</v>
      </c>
      <c r="F10" s="266">
        <v>124.87672506881569</v>
      </c>
      <c r="H10" s="147"/>
    </row>
    <row r="11" spans="2:8" ht="18" customHeight="1" x14ac:dyDescent="0.2">
      <c r="B11" s="2">
        <v>2</v>
      </c>
      <c r="C11" s="42" t="s">
        <v>74</v>
      </c>
      <c r="D11" s="266">
        <v>14.49440370082657</v>
      </c>
      <c r="E11" s="266">
        <v>15.175228251295277</v>
      </c>
      <c r="F11" s="266">
        <v>15.782237381347088</v>
      </c>
      <c r="H11" s="147"/>
    </row>
    <row r="12" spans="2:8" ht="18" customHeight="1" x14ac:dyDescent="0.2">
      <c r="B12" s="2">
        <v>3</v>
      </c>
      <c r="C12" s="3" t="s">
        <v>75</v>
      </c>
      <c r="D12" s="266">
        <v>6.0396901480429896</v>
      </c>
      <c r="E12" s="266">
        <v>6.4786285751182628</v>
      </c>
      <c r="F12" s="266">
        <v>6.7377737181229937</v>
      </c>
      <c r="H12" s="147"/>
    </row>
    <row r="13" spans="2:8" ht="18" customHeight="1" x14ac:dyDescent="0.2">
      <c r="B13" s="2">
        <v>4</v>
      </c>
      <c r="C13" s="42" t="s">
        <v>76</v>
      </c>
      <c r="D13" s="266">
        <v>1.3787337893981988</v>
      </c>
      <c r="E13" s="266">
        <v>1.4615417974454794</v>
      </c>
      <c r="F13" s="266">
        <v>1.5200034693432987</v>
      </c>
      <c r="H13" s="147"/>
    </row>
    <row r="14" spans="2:8" ht="18" customHeight="1" x14ac:dyDescent="0.2">
      <c r="B14" s="2">
        <v>5</v>
      </c>
      <c r="C14" s="42" t="s">
        <v>77</v>
      </c>
      <c r="D14" s="266">
        <v>0</v>
      </c>
      <c r="E14" s="266">
        <v>1.5719491692029781E-4</v>
      </c>
      <c r="F14" s="266">
        <v>1.6348271359710974E-4</v>
      </c>
      <c r="H14" s="147"/>
    </row>
    <row r="15" spans="2:8" ht="18" customHeight="1" x14ac:dyDescent="0.2">
      <c r="B15" s="2">
        <v>6</v>
      </c>
      <c r="C15" s="3" t="s">
        <v>78</v>
      </c>
      <c r="D15" s="266">
        <v>14.59540520446815</v>
      </c>
      <c r="E15" s="266">
        <v>15.094413809008715</v>
      </c>
      <c r="F15" s="266">
        <v>15.698190361369065</v>
      </c>
      <c r="H15" s="147"/>
    </row>
    <row r="16" spans="2:8" ht="18" customHeight="1" x14ac:dyDescent="0.2">
      <c r="B16" s="2">
        <v>7</v>
      </c>
      <c r="C16" s="42" t="s">
        <v>79</v>
      </c>
      <c r="D16" s="266">
        <v>23.642945556302006</v>
      </c>
      <c r="E16" s="266">
        <v>24.90406882736843</v>
      </c>
      <c r="F16" s="266">
        <v>25.900231580463167</v>
      </c>
      <c r="H16" s="147"/>
    </row>
    <row r="17" spans="2:8" ht="18" customHeight="1" x14ac:dyDescent="0.2">
      <c r="B17" s="2">
        <v>8</v>
      </c>
      <c r="C17" s="42" t="s">
        <v>80</v>
      </c>
      <c r="D17" s="266">
        <v>1.3538407566731254</v>
      </c>
      <c r="E17" s="266">
        <v>1.3535275256192478</v>
      </c>
      <c r="F17" s="266">
        <v>1.4076686266440177</v>
      </c>
      <c r="H17" s="147"/>
    </row>
    <row r="18" spans="2:8" ht="18" customHeight="1" x14ac:dyDescent="0.2">
      <c r="B18" s="2">
        <v>9</v>
      </c>
      <c r="C18" s="42" t="s">
        <v>81</v>
      </c>
      <c r="D18" s="266">
        <v>0</v>
      </c>
      <c r="E18" s="266">
        <v>0</v>
      </c>
      <c r="F18" s="266">
        <v>0</v>
      </c>
      <c r="H18" s="147"/>
    </row>
    <row r="19" spans="2:8" ht="18" customHeight="1" x14ac:dyDescent="0.2">
      <c r="B19" s="2">
        <v>10</v>
      </c>
      <c r="C19" s="42" t="s">
        <v>82</v>
      </c>
      <c r="D19" s="266">
        <v>0</v>
      </c>
      <c r="E19" s="266">
        <v>0</v>
      </c>
      <c r="F19" s="266">
        <v>0</v>
      </c>
      <c r="H19" s="147"/>
    </row>
    <row r="20" spans="2:8" ht="18" customHeight="1" x14ac:dyDescent="0.2">
      <c r="B20" s="2">
        <v>11</v>
      </c>
      <c r="C20" s="42" t="s">
        <v>83</v>
      </c>
      <c r="D20" s="266">
        <v>2.3317070156165308E-3</v>
      </c>
      <c r="E20" s="266">
        <v>2.5007326430187874E-3</v>
      </c>
      <c r="F20" s="266">
        <v>2.6007619487395388E-3</v>
      </c>
      <c r="H20" s="147"/>
    </row>
    <row r="21" spans="2:8" ht="18" customHeight="1" x14ac:dyDescent="0.2">
      <c r="B21" s="2">
        <v>12</v>
      </c>
      <c r="C21" s="42" t="s">
        <v>84</v>
      </c>
      <c r="D21" s="266">
        <v>2.5960388410246353</v>
      </c>
      <c r="E21" s="266">
        <v>2.7443423786396952</v>
      </c>
      <c r="F21" s="266">
        <v>2.8541160737852831</v>
      </c>
      <c r="H21" s="147"/>
    </row>
    <row r="22" spans="2:8" ht="18" customHeight="1" x14ac:dyDescent="0.2">
      <c r="B22" s="2">
        <v>13</v>
      </c>
      <c r="C22" s="42" t="s">
        <v>85</v>
      </c>
      <c r="D22" s="266">
        <v>0</v>
      </c>
      <c r="E22" s="266">
        <v>0</v>
      </c>
      <c r="F22" s="266">
        <v>0</v>
      </c>
      <c r="H22" s="147"/>
    </row>
    <row r="23" spans="2:8" ht="18" customHeight="1" x14ac:dyDescent="0.2">
      <c r="B23" s="2">
        <v>14</v>
      </c>
      <c r="C23" s="42" t="s">
        <v>86</v>
      </c>
      <c r="D23" s="266">
        <v>0</v>
      </c>
      <c r="E23" s="266">
        <v>0</v>
      </c>
      <c r="F23" s="266">
        <v>0</v>
      </c>
      <c r="H23" s="147"/>
    </row>
    <row r="24" spans="2:8" ht="18" customHeight="1" x14ac:dyDescent="0.2">
      <c r="B24" s="2">
        <v>15</v>
      </c>
      <c r="C24" s="42" t="s">
        <v>87</v>
      </c>
      <c r="D24" s="266">
        <v>0</v>
      </c>
      <c r="E24" s="266">
        <v>0</v>
      </c>
      <c r="F24" s="266">
        <v>0</v>
      </c>
      <c r="H24" s="147"/>
    </row>
    <row r="25" spans="2:8" ht="18" customHeight="1" x14ac:dyDescent="0.2">
      <c r="B25" s="2">
        <v>16</v>
      </c>
      <c r="C25" s="42" t="s">
        <v>88</v>
      </c>
      <c r="D25" s="266">
        <v>0</v>
      </c>
      <c r="E25" s="266">
        <v>0</v>
      </c>
      <c r="F25" s="266">
        <v>0</v>
      </c>
      <c r="H25" s="147"/>
    </row>
    <row r="26" spans="2:8" ht="18" customHeight="1" x14ac:dyDescent="0.2">
      <c r="B26" s="2">
        <v>17</v>
      </c>
      <c r="C26" s="42" t="s">
        <v>89</v>
      </c>
      <c r="D26" s="137">
        <f>SUM(D10:D25)</f>
        <v>178.66251274360096</v>
      </c>
      <c r="E26" s="138">
        <f>SUM(E10:E25)</f>
        <v>187.28818319668551</v>
      </c>
      <c r="F26" s="138">
        <f>SUM(F10:F25)</f>
        <v>194.77971052455291</v>
      </c>
      <c r="H26" s="148"/>
    </row>
    <row r="27" spans="2:8" ht="18" customHeight="1" x14ac:dyDescent="0.2">
      <c r="B27" s="2">
        <v>18</v>
      </c>
      <c r="C27" s="42" t="s">
        <v>90</v>
      </c>
      <c r="D27" s="266">
        <v>0</v>
      </c>
      <c r="E27" s="266">
        <v>0</v>
      </c>
      <c r="F27" s="266">
        <v>0</v>
      </c>
    </row>
    <row r="28" spans="2:8" ht="18" customHeight="1" x14ac:dyDescent="0.2">
      <c r="B28" s="2">
        <f>+B27+0.1</f>
        <v>18.100000000000001</v>
      </c>
      <c r="C28" s="42" t="s">
        <v>91</v>
      </c>
      <c r="D28" s="266">
        <v>0</v>
      </c>
      <c r="E28" s="266">
        <v>0</v>
      </c>
      <c r="F28" s="266">
        <v>0</v>
      </c>
    </row>
    <row r="29" spans="2:8" ht="18" customHeight="1" x14ac:dyDescent="0.2">
      <c r="B29" s="2">
        <f>+B28+0.1</f>
        <v>18.200000000000003</v>
      </c>
      <c r="C29" s="42" t="s">
        <v>92</v>
      </c>
      <c r="D29" s="266">
        <v>13.571896719369953</v>
      </c>
      <c r="E29" s="266">
        <v>14.358745829557844</v>
      </c>
      <c r="F29" s="266">
        <v>14.933095662740158</v>
      </c>
    </row>
    <row r="30" spans="2:8" ht="18" customHeight="1" x14ac:dyDescent="0.2">
      <c r="B30" s="2">
        <f>+B29+0.1</f>
        <v>18.300000000000004</v>
      </c>
      <c r="C30" s="42" t="s">
        <v>93</v>
      </c>
      <c r="D30" s="266">
        <v>0</v>
      </c>
      <c r="E30" s="266">
        <v>0</v>
      </c>
      <c r="F30" s="266">
        <v>0</v>
      </c>
    </row>
    <row r="31" spans="2:8" ht="18" customHeight="1" x14ac:dyDescent="0.2">
      <c r="B31" s="2">
        <f>+B30+0.1</f>
        <v>18.400000000000006</v>
      </c>
      <c r="C31" s="42" t="s">
        <v>94</v>
      </c>
      <c r="D31" s="266">
        <v>34.762372835329082</v>
      </c>
      <c r="E31" s="266">
        <v>36.624024532350155</v>
      </c>
      <c r="F31" s="266">
        <v>38.1</v>
      </c>
    </row>
    <row r="32" spans="2:8" ht="28.5" customHeight="1" x14ac:dyDescent="0.2">
      <c r="B32" s="2">
        <v>19</v>
      </c>
      <c r="C32" s="46" t="s">
        <v>393</v>
      </c>
      <c r="D32" s="266">
        <v>0</v>
      </c>
      <c r="E32" s="266">
        <v>0</v>
      </c>
      <c r="F32" s="266">
        <v>0</v>
      </c>
    </row>
    <row r="33" spans="2:6" ht="18" customHeight="1" x14ac:dyDescent="0.2">
      <c r="B33" s="2">
        <v>20</v>
      </c>
      <c r="C33" s="42" t="s">
        <v>95</v>
      </c>
      <c r="D33" s="266">
        <v>0</v>
      </c>
      <c r="E33" s="266">
        <v>0</v>
      </c>
      <c r="F33" s="266">
        <v>0</v>
      </c>
    </row>
    <row r="34" spans="2:6" ht="18" customHeight="1" x14ac:dyDescent="0.25">
      <c r="B34" s="14">
        <v>21</v>
      </c>
      <c r="C34" s="43" t="s">
        <v>96</v>
      </c>
      <c r="D34" s="125">
        <f>SUM(D26:D33)</f>
        <v>226.99678229829999</v>
      </c>
      <c r="E34" s="125">
        <f>SUM(E26:E33)</f>
        <v>238.2709535585935</v>
      </c>
      <c r="F34" s="125">
        <f>SUM(F26:F33)</f>
        <v>247.81280618729306</v>
      </c>
    </row>
    <row r="35" spans="2:6" ht="18" customHeight="1" x14ac:dyDescent="0.25">
      <c r="B35" s="2">
        <v>22</v>
      </c>
      <c r="C35" s="42" t="s">
        <v>17</v>
      </c>
      <c r="D35" s="256"/>
      <c r="E35" s="257"/>
      <c r="F35" s="257"/>
    </row>
    <row r="36" spans="2:6" ht="18" customHeight="1" x14ac:dyDescent="0.2">
      <c r="B36" s="14">
        <v>23</v>
      </c>
      <c r="C36" s="19" t="s">
        <v>97</v>
      </c>
      <c r="D36" s="268">
        <f>ROUND(D34-D35,2)</f>
        <v>227</v>
      </c>
      <c r="E36" s="268">
        <f t="shared" ref="E36:F36" si="0">ROUND(E34-E35,2)</f>
        <v>238.27</v>
      </c>
      <c r="F36" s="268">
        <f t="shared" si="0"/>
        <v>247.81</v>
      </c>
    </row>
    <row r="37" spans="2:6" ht="27.75" customHeight="1" x14ac:dyDescent="0.2">
      <c r="B37" s="44"/>
      <c r="D37" s="149"/>
    </row>
    <row r="38" spans="2:6" x14ac:dyDescent="0.2">
      <c r="B38" s="45"/>
    </row>
  </sheetData>
  <mergeCells count="5">
    <mergeCell ref="B7:B9"/>
    <mergeCell ref="C7:C9"/>
    <mergeCell ref="B2:F2"/>
    <mergeCell ref="B3:F3"/>
    <mergeCell ref="B4:F4"/>
  </mergeCells>
  <pageMargins left="1" right="0.25" top="0.25" bottom="0.25" header="0.5" footer="0.5"/>
  <pageSetup paperSize="9" scale="94" orientation="landscape" r:id="rId1"/>
  <headerFooter alignWithMargins="0"/>
  <rowBreaks count="1" manualBreakCount="1">
    <brk id="36" min="1"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38"/>
  <sheetViews>
    <sheetView showGridLines="0" view="pageBreakPreview" topLeftCell="A13" zoomScale="96" zoomScaleSheetLayoutView="96" workbookViewId="0">
      <selection activeCell="D38" sqref="D38:F38"/>
    </sheetView>
  </sheetViews>
  <sheetFormatPr defaultColWidth="9.28515625" defaultRowHeight="14.25" x14ac:dyDescent="0.2"/>
  <cols>
    <col min="1" max="1" width="2" style="13" customWidth="1"/>
    <col min="2" max="2" width="7" style="13" customWidth="1"/>
    <col min="3" max="3" width="50.28515625" style="13" customWidth="1"/>
    <col min="4" max="5" width="15.7109375" style="13" customWidth="1"/>
    <col min="6" max="6" width="16.140625" style="13" customWidth="1"/>
    <col min="7" max="16384" width="9.28515625" style="13"/>
  </cols>
  <sheetData>
    <row r="1" spans="2:6" ht="14.25" customHeight="1" x14ac:dyDescent="0.2">
      <c r="B1" s="289" t="s">
        <v>403</v>
      </c>
      <c r="C1" s="289"/>
      <c r="D1" s="289"/>
      <c r="E1" s="289"/>
      <c r="F1" s="289"/>
    </row>
    <row r="2" spans="2:6" ht="14.25" customHeight="1" x14ac:dyDescent="0.2">
      <c r="B2" s="289" t="s">
        <v>467</v>
      </c>
      <c r="C2" s="289"/>
      <c r="D2" s="289"/>
      <c r="E2" s="289"/>
      <c r="F2" s="289"/>
    </row>
    <row r="3" spans="2:6" s="4" customFormat="1" ht="15" x14ac:dyDescent="0.2">
      <c r="B3" s="289" t="s">
        <v>407</v>
      </c>
      <c r="C3" s="289"/>
      <c r="D3" s="289"/>
      <c r="E3" s="289"/>
      <c r="F3" s="289"/>
    </row>
    <row r="4" spans="2:6" ht="15" x14ac:dyDescent="0.2">
      <c r="F4" s="26" t="s">
        <v>4</v>
      </c>
    </row>
    <row r="5" spans="2:6" ht="12.75" customHeight="1" x14ac:dyDescent="0.2">
      <c r="B5" s="284" t="s">
        <v>193</v>
      </c>
      <c r="C5" s="282" t="s">
        <v>18</v>
      </c>
      <c r="D5" s="15" t="s">
        <v>405</v>
      </c>
      <c r="E5" s="15" t="s">
        <v>406</v>
      </c>
      <c r="F5" s="23" t="s">
        <v>466</v>
      </c>
    </row>
    <row r="6" spans="2:6" ht="15" x14ac:dyDescent="0.2">
      <c r="B6" s="284"/>
      <c r="C6" s="282"/>
      <c r="D6" s="15" t="s">
        <v>240</v>
      </c>
      <c r="E6" s="15" t="s">
        <v>239</v>
      </c>
      <c r="F6" s="15" t="s">
        <v>239</v>
      </c>
    </row>
    <row r="7" spans="2:6" ht="15" x14ac:dyDescent="0.2">
      <c r="B7" s="284"/>
      <c r="C7" s="282"/>
      <c r="D7" s="15" t="s">
        <v>12</v>
      </c>
      <c r="E7" s="15" t="s">
        <v>5</v>
      </c>
      <c r="F7" s="15" t="s">
        <v>8</v>
      </c>
    </row>
    <row r="8" spans="2:6" x14ac:dyDescent="0.2">
      <c r="B8" s="3">
        <v>1</v>
      </c>
      <c r="C8" s="52" t="s">
        <v>98</v>
      </c>
      <c r="D8" s="266">
        <v>2.6649540495861541</v>
      </c>
      <c r="E8" s="266">
        <v>2.9063753156429075</v>
      </c>
      <c r="F8" s="266">
        <v>3.0807578345814823</v>
      </c>
    </row>
    <row r="9" spans="2:6" x14ac:dyDescent="0.2">
      <c r="B9" s="3">
        <v>2</v>
      </c>
      <c r="C9" s="53" t="s">
        <v>99</v>
      </c>
      <c r="D9" s="266">
        <v>0</v>
      </c>
      <c r="E9" s="266">
        <v>0</v>
      </c>
      <c r="F9" s="266">
        <v>0</v>
      </c>
    </row>
    <row r="10" spans="2:6" x14ac:dyDescent="0.2">
      <c r="B10" s="3">
        <v>3</v>
      </c>
      <c r="C10" s="53" t="s">
        <v>100</v>
      </c>
      <c r="D10" s="266">
        <v>9.7682971133942267E-2</v>
      </c>
      <c r="E10" s="266">
        <v>0.10642209369137719</v>
      </c>
      <c r="F10" s="266">
        <v>0.11280741931285983</v>
      </c>
    </row>
    <row r="11" spans="2:6" x14ac:dyDescent="0.2">
      <c r="B11" s="3">
        <v>4</v>
      </c>
      <c r="C11" s="53" t="s">
        <v>101</v>
      </c>
      <c r="D11" s="266">
        <v>0.25097483968703244</v>
      </c>
      <c r="E11" s="266">
        <v>0.42524539481951584</v>
      </c>
      <c r="F11" s="266">
        <v>0.4507601185086868</v>
      </c>
    </row>
    <row r="12" spans="2:6" x14ac:dyDescent="0.2">
      <c r="B12" s="3">
        <v>5</v>
      </c>
      <c r="C12" s="53" t="s">
        <v>102</v>
      </c>
      <c r="D12" s="266">
        <v>3.2807112741759133E-2</v>
      </c>
      <c r="E12" s="266">
        <v>3.6044243164317244E-2</v>
      </c>
      <c r="F12" s="266">
        <v>3.8206897754176281E-2</v>
      </c>
    </row>
    <row r="13" spans="2:6" x14ac:dyDescent="0.2">
      <c r="B13" s="3">
        <v>6</v>
      </c>
      <c r="C13" s="53" t="s">
        <v>103</v>
      </c>
      <c r="D13" s="266">
        <v>7.4973668651100916E-2</v>
      </c>
      <c r="E13" s="266">
        <v>8.2007865542131964E-2</v>
      </c>
      <c r="F13" s="266">
        <v>8.6928337474659889E-2</v>
      </c>
    </row>
    <row r="14" spans="2:6" x14ac:dyDescent="0.2">
      <c r="B14" s="3">
        <v>7</v>
      </c>
      <c r="C14" s="53" t="s">
        <v>104</v>
      </c>
      <c r="D14" s="266">
        <v>1.8144536808838672</v>
      </c>
      <c r="E14" s="266">
        <v>1.8647257759095865</v>
      </c>
      <c r="F14" s="266">
        <v>1.9766093224641619</v>
      </c>
    </row>
    <row r="15" spans="2:6" x14ac:dyDescent="0.2">
      <c r="B15" s="3">
        <v>8</v>
      </c>
      <c r="C15" s="53" t="s">
        <v>105</v>
      </c>
      <c r="D15" s="266">
        <v>2.0504609196938298E-3</v>
      </c>
      <c r="E15" s="266">
        <v>2.2454967694338262E-3</v>
      </c>
      <c r="F15" s="266">
        <v>2.380226575599856E-3</v>
      </c>
    </row>
    <row r="16" spans="2:6" x14ac:dyDescent="0.2">
      <c r="B16" s="3">
        <v>9</v>
      </c>
      <c r="C16" s="53" t="s">
        <v>106</v>
      </c>
      <c r="D16" s="266">
        <v>0.13060310718621515</v>
      </c>
      <c r="E16" s="266">
        <v>8.9675631572056685E-2</v>
      </c>
      <c r="F16" s="266">
        <v>9.5056169466380097E-2</v>
      </c>
    </row>
    <row r="17" spans="2:6" x14ac:dyDescent="0.2">
      <c r="B17" s="3">
        <v>10</v>
      </c>
      <c r="C17" s="53" t="s">
        <v>107</v>
      </c>
      <c r="D17" s="266">
        <v>0.33991317558166523</v>
      </c>
      <c r="E17" s="266">
        <v>0.37224505491701476</v>
      </c>
      <c r="F17" s="266">
        <v>0.39457975821203567</v>
      </c>
    </row>
    <row r="18" spans="2:6" x14ac:dyDescent="0.2">
      <c r="B18" s="3">
        <v>11</v>
      </c>
      <c r="C18" s="53" t="s">
        <v>108</v>
      </c>
      <c r="D18" s="266">
        <v>1.1852909839860262E-3</v>
      </c>
      <c r="E18" s="266">
        <v>1.2854799337050089E-3</v>
      </c>
      <c r="F18" s="266">
        <v>1.3626087297273096E-3</v>
      </c>
    </row>
    <row r="19" spans="2:6" x14ac:dyDescent="0.2">
      <c r="B19" s="3">
        <v>12</v>
      </c>
      <c r="C19" s="53" t="s">
        <v>109</v>
      </c>
      <c r="D19" s="266">
        <v>0</v>
      </c>
      <c r="E19" s="266">
        <v>0</v>
      </c>
      <c r="F19" s="266">
        <v>0</v>
      </c>
    </row>
    <row r="20" spans="2:6" x14ac:dyDescent="0.2">
      <c r="B20" s="3">
        <v>13</v>
      </c>
      <c r="C20" s="53" t="s">
        <v>110</v>
      </c>
      <c r="D20" s="266">
        <v>1.4682963844994873E-2</v>
      </c>
      <c r="E20" s="266">
        <v>1.5994422392116667E-2</v>
      </c>
      <c r="F20" s="266">
        <v>1.6954087735643667E-2</v>
      </c>
    </row>
    <row r="21" spans="2:6" x14ac:dyDescent="0.2">
      <c r="B21" s="3">
        <v>14</v>
      </c>
      <c r="C21" s="53" t="s">
        <v>111</v>
      </c>
      <c r="D21" s="266">
        <v>7.441452998749061E-2</v>
      </c>
      <c r="E21" s="266">
        <v>0.10829630556444289</v>
      </c>
      <c r="F21" s="266">
        <v>0.11479408389830947</v>
      </c>
    </row>
    <row r="22" spans="2:6" x14ac:dyDescent="0.2">
      <c r="B22" s="3">
        <v>15</v>
      </c>
      <c r="C22" s="53" t="s">
        <v>112</v>
      </c>
      <c r="D22" s="266">
        <v>0</v>
      </c>
      <c r="E22" s="266">
        <v>0</v>
      </c>
      <c r="F22" s="266">
        <v>0</v>
      </c>
    </row>
    <row r="23" spans="2:6" x14ac:dyDescent="0.2">
      <c r="B23" s="3">
        <v>16</v>
      </c>
      <c r="C23" s="52" t="s">
        <v>113</v>
      </c>
      <c r="D23" s="266">
        <v>0</v>
      </c>
      <c r="E23" s="266">
        <v>0</v>
      </c>
      <c r="F23" s="266">
        <v>0</v>
      </c>
    </row>
    <row r="24" spans="2:6" x14ac:dyDescent="0.2">
      <c r="B24" s="3">
        <v>17</v>
      </c>
      <c r="C24" s="52" t="s">
        <v>114</v>
      </c>
      <c r="D24" s="266">
        <v>0</v>
      </c>
      <c r="E24" s="266">
        <v>0</v>
      </c>
      <c r="F24" s="266">
        <v>0</v>
      </c>
    </row>
    <row r="25" spans="2:6" x14ac:dyDescent="0.2">
      <c r="B25" s="3">
        <v>18</v>
      </c>
      <c r="C25" s="53" t="s">
        <v>115</v>
      </c>
      <c r="D25" s="266">
        <v>2.7706317527146716E-2</v>
      </c>
      <c r="E25" s="266">
        <v>3.0341688496752946E-2</v>
      </c>
      <c r="F25" s="266">
        <v>3.2162189806558127E-2</v>
      </c>
    </row>
    <row r="26" spans="2:6" x14ac:dyDescent="0.2">
      <c r="B26" s="3">
        <v>19</v>
      </c>
      <c r="C26" s="53" t="s">
        <v>116</v>
      </c>
      <c r="D26" s="266">
        <v>1.4617828585168551</v>
      </c>
      <c r="E26" s="266">
        <v>1.5719867368298432</v>
      </c>
      <c r="F26" s="266">
        <v>1.6663059410396339</v>
      </c>
    </row>
    <row r="27" spans="2:6" x14ac:dyDescent="0.2">
      <c r="B27" s="3">
        <v>20</v>
      </c>
      <c r="C27" s="53" t="s">
        <v>117</v>
      </c>
      <c r="D27" s="266">
        <v>0</v>
      </c>
      <c r="E27" s="266">
        <v>0</v>
      </c>
      <c r="F27" s="266">
        <v>0</v>
      </c>
    </row>
    <row r="28" spans="2:6" x14ac:dyDescent="0.2">
      <c r="B28" s="3">
        <v>21</v>
      </c>
      <c r="C28" s="53" t="s">
        <v>118</v>
      </c>
      <c r="D28" s="266">
        <v>0</v>
      </c>
      <c r="E28" s="266">
        <v>0</v>
      </c>
      <c r="F28" s="266">
        <v>0</v>
      </c>
    </row>
    <row r="29" spans="2:6" x14ac:dyDescent="0.2">
      <c r="B29" s="3">
        <v>22</v>
      </c>
      <c r="C29" s="53" t="s">
        <v>119</v>
      </c>
      <c r="D29" s="266">
        <v>2.913600726973934E-2</v>
      </c>
      <c r="E29" s="266">
        <v>3.2140308698841422E-2</v>
      </c>
      <c r="F29" s="266">
        <v>3.4068727220771908E-2</v>
      </c>
    </row>
    <row r="30" spans="2:6" x14ac:dyDescent="0.2">
      <c r="B30" s="3">
        <v>23</v>
      </c>
      <c r="C30" s="53" t="s">
        <v>120</v>
      </c>
      <c r="D30" s="266">
        <v>0</v>
      </c>
      <c r="E30" s="266">
        <v>0</v>
      </c>
      <c r="F30" s="266">
        <v>0</v>
      </c>
    </row>
    <row r="31" spans="2:6" x14ac:dyDescent="0.2">
      <c r="B31" s="3">
        <v>24</v>
      </c>
      <c r="C31" s="53" t="s">
        <v>121</v>
      </c>
      <c r="D31" s="266">
        <v>4.8383859042650058E-2</v>
      </c>
      <c r="E31" s="266">
        <v>5.3019584444631861E-2</v>
      </c>
      <c r="F31" s="266">
        <v>5.6200759511309775E-2</v>
      </c>
    </row>
    <row r="32" spans="2:6" x14ac:dyDescent="0.2">
      <c r="B32" s="3">
        <v>25</v>
      </c>
      <c r="C32" s="53" t="s">
        <v>122</v>
      </c>
      <c r="D32" s="266">
        <v>0</v>
      </c>
      <c r="E32" s="266">
        <v>0</v>
      </c>
      <c r="F32" s="266">
        <v>0</v>
      </c>
    </row>
    <row r="33" spans="2:6" x14ac:dyDescent="0.2">
      <c r="B33" s="3">
        <v>26</v>
      </c>
      <c r="C33" s="53" t="s">
        <v>123</v>
      </c>
      <c r="D33" s="266">
        <v>0</v>
      </c>
      <c r="E33" s="266">
        <v>0</v>
      </c>
      <c r="F33" s="266">
        <v>0</v>
      </c>
    </row>
    <row r="34" spans="2:6" x14ac:dyDescent="0.2">
      <c r="B34" s="3">
        <v>27</v>
      </c>
      <c r="C34" s="53" t="s">
        <v>124</v>
      </c>
      <c r="D34" s="266">
        <v>6.3043057254429189E-3</v>
      </c>
      <c r="E34" s="266">
        <v>6.539455297053927E-3</v>
      </c>
      <c r="F34" s="266">
        <v>6.9318226148771629E-3</v>
      </c>
    </row>
    <row r="35" spans="2:6" x14ac:dyDescent="0.2">
      <c r="B35" s="3">
        <v>28</v>
      </c>
      <c r="C35" s="53" t="s">
        <v>95</v>
      </c>
      <c r="D35" s="266">
        <v>1.1714866742560439</v>
      </c>
      <c r="E35" s="266">
        <v>1.33</v>
      </c>
      <c r="F35" s="266">
        <v>1.405</v>
      </c>
    </row>
    <row r="36" spans="2:6" ht="15" x14ac:dyDescent="0.25">
      <c r="B36" s="3">
        <v>29</v>
      </c>
      <c r="C36" s="54" t="s">
        <v>125</v>
      </c>
      <c r="D36" s="114">
        <f>SUM(D8:D35)</f>
        <v>8.2434958735257808</v>
      </c>
      <c r="E36" s="114">
        <f>SUM(E8:E35)</f>
        <v>9.0345908536857316</v>
      </c>
      <c r="F36" s="114">
        <f>SUM(F8:F35)</f>
        <v>9.5718663049068731</v>
      </c>
    </row>
    <row r="37" spans="2:6" ht="15" x14ac:dyDescent="0.25">
      <c r="B37" s="3">
        <v>30</v>
      </c>
      <c r="C37" s="42" t="s">
        <v>17</v>
      </c>
      <c r="D37" s="256"/>
      <c r="E37" s="258"/>
      <c r="F37" s="258"/>
    </row>
    <row r="38" spans="2:6" ht="15" x14ac:dyDescent="0.2">
      <c r="B38" s="3">
        <v>31</v>
      </c>
      <c r="C38" s="19" t="s">
        <v>126</v>
      </c>
      <c r="D38" s="114">
        <f>ROUND(D36-D37,2)</f>
        <v>8.24</v>
      </c>
      <c r="E38" s="114">
        <f t="shared" ref="E38:F38" si="0">ROUND(E36-E37,2)</f>
        <v>9.0299999999999994</v>
      </c>
      <c r="F38" s="114">
        <f t="shared" si="0"/>
        <v>9.57</v>
      </c>
    </row>
  </sheetData>
  <mergeCells count="5">
    <mergeCell ref="B5:B7"/>
    <mergeCell ref="C5:C7"/>
    <mergeCell ref="B3:F3"/>
    <mergeCell ref="B2:F2"/>
    <mergeCell ref="B1:F1"/>
  </mergeCells>
  <pageMargins left="0.75" right="0.25" top="0.25" bottom="0.25" header="0.5" footer="0.5"/>
  <pageSetup paperSize="9" fitToWidth="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F22"/>
  <sheetViews>
    <sheetView showGridLines="0" view="pageBreakPreview" topLeftCell="C1" zoomScale="90" zoomScaleNormal="98" zoomScaleSheetLayoutView="90" workbookViewId="0">
      <selection activeCell="C25" sqref="C25"/>
    </sheetView>
  </sheetViews>
  <sheetFormatPr defaultColWidth="9.28515625" defaultRowHeight="14.25" x14ac:dyDescent="0.2"/>
  <cols>
    <col min="1" max="1" width="4.5703125" style="13" customWidth="1"/>
    <col min="2" max="2" width="8.7109375" style="55" customWidth="1"/>
    <col min="3" max="3" width="45.7109375" style="13" customWidth="1"/>
    <col min="4" max="5" width="15.7109375" style="13" customWidth="1"/>
    <col min="6" max="6" width="12.28515625" style="13" customWidth="1"/>
    <col min="7" max="16384" width="9.28515625" style="13"/>
  </cols>
  <sheetData>
    <row r="2" spans="2:6" ht="14.25" customHeight="1" x14ac:dyDescent="0.2">
      <c r="B2" s="289" t="s">
        <v>403</v>
      </c>
      <c r="C2" s="289"/>
      <c r="D2" s="289"/>
      <c r="E2" s="289"/>
      <c r="F2" s="289"/>
    </row>
    <row r="3" spans="2:6" ht="14.25" customHeight="1" x14ac:dyDescent="0.2">
      <c r="B3" s="289" t="s">
        <v>467</v>
      </c>
      <c r="C3" s="289"/>
      <c r="D3" s="289"/>
      <c r="E3" s="289"/>
      <c r="F3" s="289"/>
    </row>
    <row r="4" spans="2:6" s="4" customFormat="1" ht="14.25" customHeight="1" x14ac:dyDescent="0.2">
      <c r="B4" s="289" t="s">
        <v>269</v>
      </c>
      <c r="C4" s="289"/>
      <c r="D4" s="289"/>
      <c r="E4" s="289"/>
      <c r="F4" s="289"/>
    </row>
    <row r="6" spans="2:6" ht="15" x14ac:dyDescent="0.2">
      <c r="F6" s="26" t="s">
        <v>4</v>
      </c>
    </row>
    <row r="7" spans="2:6" ht="12.75" customHeight="1" x14ac:dyDescent="0.2">
      <c r="B7" s="284" t="s">
        <v>193</v>
      </c>
      <c r="C7" s="282" t="s">
        <v>18</v>
      </c>
      <c r="D7" s="15" t="s">
        <v>405</v>
      </c>
      <c r="E7" s="15" t="s">
        <v>406</v>
      </c>
      <c r="F7" s="23" t="s">
        <v>466</v>
      </c>
    </row>
    <row r="8" spans="2:6" ht="15" x14ac:dyDescent="0.2">
      <c r="B8" s="284"/>
      <c r="C8" s="282"/>
      <c r="D8" s="15" t="s">
        <v>240</v>
      </c>
      <c r="E8" s="15" t="s">
        <v>239</v>
      </c>
      <c r="F8" s="15" t="s">
        <v>239</v>
      </c>
    </row>
    <row r="9" spans="2:6" ht="15" x14ac:dyDescent="0.2">
      <c r="B9" s="284"/>
      <c r="C9" s="282"/>
      <c r="D9" s="15" t="s">
        <v>12</v>
      </c>
      <c r="E9" s="15" t="s">
        <v>5</v>
      </c>
      <c r="F9" s="15" t="s">
        <v>8</v>
      </c>
    </row>
    <row r="10" spans="2:6" x14ac:dyDescent="0.2">
      <c r="B10" s="2">
        <v>1</v>
      </c>
      <c r="C10" s="53" t="s">
        <v>127</v>
      </c>
      <c r="D10" s="266">
        <v>39.092891539461171</v>
      </c>
      <c r="E10" s="266">
        <v>41.492191598718847</v>
      </c>
      <c r="F10" s="266">
        <v>43.981723094641978</v>
      </c>
    </row>
    <row r="11" spans="2:6" x14ac:dyDescent="0.2">
      <c r="B11" s="2">
        <v>2</v>
      </c>
      <c r="C11" s="53" t="s">
        <v>128</v>
      </c>
      <c r="D11" s="266">
        <v>4.1413899596353785</v>
      </c>
      <c r="E11" s="266">
        <v>4.3811188050130472</v>
      </c>
      <c r="F11" s="266">
        <v>4.6439859333138305</v>
      </c>
    </row>
    <row r="12" spans="2:6" x14ac:dyDescent="0.2">
      <c r="B12" s="2">
        <v>3</v>
      </c>
      <c r="C12" s="53" t="s">
        <v>129</v>
      </c>
      <c r="D12" s="266">
        <v>0</v>
      </c>
      <c r="E12" s="266">
        <v>0</v>
      </c>
      <c r="F12" s="266">
        <v>0</v>
      </c>
    </row>
    <row r="13" spans="2:6" x14ac:dyDescent="0.2">
      <c r="B13" s="2">
        <v>4</v>
      </c>
      <c r="C13" s="53" t="s">
        <v>130</v>
      </c>
      <c r="D13" s="266">
        <v>1.3046509090909092E-2</v>
      </c>
      <c r="E13" s="266">
        <v>1.3876422979856473E-2</v>
      </c>
      <c r="F13" s="266">
        <v>1.4709008358647862E-2</v>
      </c>
    </row>
    <row r="14" spans="2:6" x14ac:dyDescent="0.2">
      <c r="B14" s="2">
        <v>5</v>
      </c>
      <c r="C14" s="53" t="s">
        <v>131</v>
      </c>
      <c r="D14" s="266">
        <v>2.2476315674975886</v>
      </c>
      <c r="E14" s="266">
        <v>2.3816132882943415</v>
      </c>
      <c r="F14" s="266">
        <v>2.5245100855920022</v>
      </c>
    </row>
    <row r="15" spans="2:6" x14ac:dyDescent="0.2">
      <c r="B15" s="2">
        <v>6</v>
      </c>
      <c r="C15" s="53" t="s">
        <v>132</v>
      </c>
      <c r="D15" s="266">
        <v>1.1527224079626719E-2</v>
      </c>
      <c r="E15" s="266">
        <v>1.2215902249780268E-2</v>
      </c>
      <c r="F15" s="266">
        <v>1.2948856384767084E-2</v>
      </c>
    </row>
    <row r="16" spans="2:6" x14ac:dyDescent="0.2">
      <c r="B16" s="2">
        <v>7</v>
      </c>
      <c r="C16" s="53" t="s">
        <v>133</v>
      </c>
      <c r="D16" s="266">
        <v>5.4458181818181812E-4</v>
      </c>
      <c r="E16" s="266">
        <v>5.7922372977886236E-4</v>
      </c>
      <c r="F16" s="266">
        <v>6.1397715356559409E-4</v>
      </c>
    </row>
    <row r="17" spans="2:6" x14ac:dyDescent="0.2">
      <c r="B17" s="2">
        <v>8</v>
      </c>
      <c r="C17" s="53" t="s">
        <v>134</v>
      </c>
      <c r="D17" s="266">
        <v>0.39502570191834013</v>
      </c>
      <c r="E17" s="266">
        <v>0.41618589891930852</v>
      </c>
      <c r="F17" s="266">
        <v>0.435</v>
      </c>
    </row>
    <row r="18" spans="2:6" ht="15" x14ac:dyDescent="0.25">
      <c r="B18" s="2">
        <v>9</v>
      </c>
      <c r="C18" s="54" t="s">
        <v>135</v>
      </c>
      <c r="D18" s="114">
        <f>ROUND(SUM(D10:D17),2)</f>
        <v>45.9</v>
      </c>
      <c r="E18" s="114">
        <f t="shared" ref="E18:F18" si="0">ROUND(SUM(E10:E17),2)</f>
        <v>48.7</v>
      </c>
      <c r="F18" s="114">
        <f t="shared" si="0"/>
        <v>51.61</v>
      </c>
    </row>
    <row r="19" spans="2:6" ht="15" x14ac:dyDescent="0.25">
      <c r="B19" s="2"/>
      <c r="C19" s="52"/>
      <c r="D19" s="256"/>
      <c r="E19" s="259"/>
      <c r="F19" s="260"/>
    </row>
    <row r="20" spans="2:6" ht="15" x14ac:dyDescent="0.2">
      <c r="B20" s="2">
        <v>10</v>
      </c>
      <c r="C20" s="56" t="s">
        <v>136</v>
      </c>
      <c r="D20" s="114">
        <f>'F4'!F19</f>
        <v>3769.46</v>
      </c>
      <c r="E20" s="114">
        <f>'F4'!F33</f>
        <v>3773.07</v>
      </c>
      <c r="F20" s="114">
        <f>'F4'!F47</f>
        <v>3778.27</v>
      </c>
    </row>
    <row r="21" spans="2:6" ht="28.5" x14ac:dyDescent="0.2">
      <c r="B21" s="2">
        <v>11</v>
      </c>
      <c r="C21" s="56" t="s">
        <v>137</v>
      </c>
      <c r="D21" s="124">
        <f>IFERROR(D18/D20,0)</f>
        <v>1.2176810471526425E-2</v>
      </c>
      <c r="E21" s="124">
        <f>IFERROR(E18/E20,0)</f>
        <v>1.2907261195790165E-2</v>
      </c>
      <c r="F21" s="124">
        <f>IFERROR(F18/F20,0)</f>
        <v>1.3659690810873759E-2</v>
      </c>
    </row>
    <row r="22" spans="2:6" x14ac:dyDescent="0.2">
      <c r="B22" s="2"/>
      <c r="C22" s="52"/>
      <c r="D22" s="3"/>
      <c r="E22" s="3"/>
      <c r="F22" s="3"/>
    </row>
  </sheetData>
  <mergeCells count="5">
    <mergeCell ref="B7:B9"/>
    <mergeCell ref="C7:C9"/>
    <mergeCell ref="B4:F4"/>
    <mergeCell ref="B3:F3"/>
    <mergeCell ref="B2:F2"/>
  </mergeCells>
  <pageMargins left="1.25" right="0.75" top="1" bottom="1" header="0.5" footer="0.5"/>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6"/>
  <sheetViews>
    <sheetView view="pageBreakPreview" zoomScale="90" zoomScaleNormal="118" zoomScaleSheetLayoutView="90" workbookViewId="0">
      <selection activeCell="B2" sqref="B2:J2"/>
    </sheetView>
  </sheetViews>
  <sheetFormatPr defaultColWidth="9.28515625" defaultRowHeight="14.25" x14ac:dyDescent="0.2"/>
  <cols>
    <col min="1" max="1" width="4.28515625" style="4" customWidth="1"/>
    <col min="2" max="2" width="6.28515625" style="4" customWidth="1"/>
    <col min="3" max="3" width="34.5703125" style="4" customWidth="1"/>
    <col min="4" max="4" width="13.7109375" style="4" bestFit="1" customWidth="1"/>
    <col min="5" max="5" width="12.5703125" style="4" bestFit="1" customWidth="1"/>
    <col min="6" max="6" width="13.42578125" style="4" bestFit="1" customWidth="1"/>
    <col min="7" max="7" width="13.7109375" style="4" bestFit="1" customWidth="1"/>
    <col min="8" max="8" width="15.140625" style="4" customWidth="1"/>
    <col min="9" max="9" width="11.7109375" style="4" bestFit="1" customWidth="1"/>
    <col min="10" max="10" width="11.5703125" style="4" customWidth="1"/>
    <col min="11" max="16384" width="9.28515625" style="4"/>
  </cols>
  <sheetData>
    <row r="1" spans="2:10" ht="15" x14ac:dyDescent="0.25">
      <c r="B1" s="57"/>
    </row>
    <row r="2" spans="2:10" ht="14.25" customHeight="1" x14ac:dyDescent="0.2">
      <c r="B2" s="289" t="s">
        <v>403</v>
      </c>
      <c r="C2" s="289"/>
      <c r="D2" s="289"/>
      <c r="E2" s="289"/>
      <c r="F2" s="289"/>
      <c r="G2" s="289"/>
      <c r="H2" s="289"/>
      <c r="I2" s="289"/>
      <c r="J2" s="289"/>
    </row>
    <row r="3" spans="2:10" ht="14.25" customHeight="1" x14ac:dyDescent="0.2">
      <c r="B3" s="289" t="s">
        <v>467</v>
      </c>
      <c r="C3" s="289"/>
      <c r="D3" s="289"/>
      <c r="E3" s="289"/>
      <c r="F3" s="289"/>
      <c r="G3" s="289"/>
      <c r="H3" s="289"/>
      <c r="I3" s="289"/>
      <c r="J3" s="289"/>
    </row>
    <row r="4" spans="2:10" ht="14.25" customHeight="1" x14ac:dyDescent="0.2">
      <c r="B4" s="289" t="s">
        <v>270</v>
      </c>
      <c r="C4" s="289"/>
      <c r="D4" s="289"/>
      <c r="E4" s="289"/>
      <c r="F4" s="289"/>
      <c r="G4" s="289"/>
      <c r="H4" s="289"/>
      <c r="I4" s="289"/>
      <c r="J4" s="289"/>
    </row>
    <row r="5" spans="2:10" ht="15" x14ac:dyDescent="0.25">
      <c r="B5" s="36"/>
      <c r="C5" s="58"/>
      <c r="D5" s="58"/>
      <c r="E5" s="58"/>
      <c r="F5" s="58"/>
      <c r="G5" s="58"/>
      <c r="H5" s="58"/>
    </row>
    <row r="6" spans="2:10" ht="15" x14ac:dyDescent="0.2">
      <c r="H6" s="26" t="s">
        <v>4</v>
      </c>
    </row>
    <row r="7" spans="2:10" s="13" customFormat="1" ht="15" customHeight="1" x14ac:dyDescent="0.2">
      <c r="B7" s="279" t="s">
        <v>193</v>
      </c>
      <c r="C7" s="282" t="s">
        <v>18</v>
      </c>
      <c r="D7" s="286" t="s">
        <v>405</v>
      </c>
      <c r="E7" s="287"/>
      <c r="F7" s="288"/>
      <c r="G7" s="286" t="s">
        <v>406</v>
      </c>
      <c r="H7" s="288"/>
      <c r="I7" s="286" t="s">
        <v>466</v>
      </c>
      <c r="J7" s="288"/>
    </row>
    <row r="8" spans="2:10" s="13" customFormat="1" ht="45" x14ac:dyDescent="0.2">
      <c r="B8" s="280"/>
      <c r="C8" s="282"/>
      <c r="D8" s="15" t="s">
        <v>370</v>
      </c>
      <c r="E8" s="15" t="s">
        <v>240</v>
      </c>
      <c r="F8" s="15" t="s">
        <v>208</v>
      </c>
      <c r="G8" s="15" t="s">
        <v>370</v>
      </c>
      <c r="H8" s="15" t="s">
        <v>239</v>
      </c>
      <c r="I8" s="15" t="s">
        <v>370</v>
      </c>
      <c r="J8" s="15" t="s">
        <v>239</v>
      </c>
    </row>
    <row r="9" spans="2:10" s="13" customFormat="1" ht="15" x14ac:dyDescent="0.2">
      <c r="B9" s="281"/>
      <c r="C9" s="283"/>
      <c r="D9" s="15" t="s">
        <v>10</v>
      </c>
      <c r="E9" s="15" t="s">
        <v>12</v>
      </c>
      <c r="F9" s="15" t="s">
        <v>231</v>
      </c>
      <c r="G9" s="15" t="s">
        <v>10</v>
      </c>
      <c r="H9" s="15" t="s">
        <v>5</v>
      </c>
      <c r="I9" s="15" t="s">
        <v>10</v>
      </c>
      <c r="J9" s="15" t="s">
        <v>8</v>
      </c>
    </row>
    <row r="10" spans="2:10" s="5" customFormat="1" x14ac:dyDescent="0.2">
      <c r="B10" s="61">
        <v>1</v>
      </c>
      <c r="C10" s="27" t="s">
        <v>244</v>
      </c>
      <c r="D10" s="2"/>
      <c r="E10" s="27"/>
      <c r="F10" s="27"/>
      <c r="G10" s="113"/>
      <c r="H10" s="113">
        <f>E13</f>
        <v>0</v>
      </c>
      <c r="I10" s="113"/>
      <c r="J10" s="113">
        <f>H13</f>
        <v>0</v>
      </c>
    </row>
    <row r="11" spans="2:10" s="5" customFormat="1" x14ac:dyDescent="0.2">
      <c r="B11" s="20">
        <v>2</v>
      </c>
      <c r="C11" s="27" t="s">
        <v>273</v>
      </c>
      <c r="D11" s="2"/>
      <c r="E11" s="110">
        <v>3.61</v>
      </c>
      <c r="F11" s="110">
        <f>E11</f>
        <v>3.61</v>
      </c>
      <c r="G11" s="21"/>
      <c r="H11" s="113">
        <v>5.2</v>
      </c>
      <c r="I11" s="113"/>
      <c r="J11" s="113">
        <v>93</v>
      </c>
    </row>
    <row r="12" spans="2:10" s="5" customFormat="1" ht="15" x14ac:dyDescent="0.2">
      <c r="B12" s="20">
        <v>3</v>
      </c>
      <c r="C12" s="29" t="s">
        <v>225</v>
      </c>
      <c r="D12" s="122"/>
      <c r="E12" s="127">
        <v>3.61</v>
      </c>
      <c r="F12" s="127">
        <f>E12</f>
        <v>3.61</v>
      </c>
      <c r="G12" s="122"/>
      <c r="H12" s="112">
        <v>5.2</v>
      </c>
      <c r="I12" s="112"/>
      <c r="J12" s="112">
        <v>93</v>
      </c>
    </row>
    <row r="13" spans="2:10" s="5" customFormat="1" ht="15" x14ac:dyDescent="0.2">
      <c r="B13" s="20">
        <v>4</v>
      </c>
      <c r="C13" s="27" t="s">
        <v>245</v>
      </c>
      <c r="D13" s="123">
        <f>D10+D11-D12</f>
        <v>0</v>
      </c>
      <c r="E13" s="123">
        <f t="shared" ref="E13:J13" si="0">E10+E11-E12</f>
        <v>0</v>
      </c>
      <c r="F13" s="123">
        <f t="shared" si="0"/>
        <v>0</v>
      </c>
      <c r="G13" s="123">
        <f t="shared" si="0"/>
        <v>0</v>
      </c>
      <c r="H13" s="123">
        <f>H10+H11-H12</f>
        <v>0</v>
      </c>
      <c r="I13" s="123">
        <f>I10+I11-I12</f>
        <v>0</v>
      </c>
      <c r="J13" s="123">
        <f t="shared" si="0"/>
        <v>0</v>
      </c>
    </row>
    <row r="14" spans="2:10" s="32" customFormat="1" ht="15" x14ac:dyDescent="0.2">
      <c r="B14" s="62"/>
      <c r="C14" s="49"/>
      <c r="D14" s="59"/>
      <c r="E14" s="59"/>
      <c r="F14" s="59"/>
      <c r="G14" s="60"/>
      <c r="H14" s="24"/>
    </row>
    <row r="16" spans="2:10" x14ac:dyDescent="0.2">
      <c r="B16" s="63"/>
    </row>
  </sheetData>
  <mergeCells count="8">
    <mergeCell ref="B4:J4"/>
    <mergeCell ref="B3:J3"/>
    <mergeCell ref="B2:J2"/>
    <mergeCell ref="I7:J7"/>
    <mergeCell ref="B7:B9"/>
    <mergeCell ref="C7:C9"/>
    <mergeCell ref="D7:F7"/>
    <mergeCell ref="G7:H7"/>
  </mergeCells>
  <pageMargins left="0.27" right="0.25" top="1" bottom="1" header="0.25" footer="0.25"/>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26"/>
  <sheetViews>
    <sheetView showGridLines="0" view="pageBreakPreview" zoomScale="90" zoomScaleNormal="106" zoomScaleSheetLayoutView="90" workbookViewId="0">
      <selection activeCell="E15" sqref="E15"/>
    </sheetView>
  </sheetViews>
  <sheetFormatPr defaultRowHeight="14.25" x14ac:dyDescent="0.2"/>
  <cols>
    <col min="1" max="1" width="4.140625" style="5" customWidth="1"/>
    <col min="2" max="2" width="6.28515625" style="5" customWidth="1"/>
    <col min="3" max="3" width="18.140625" style="5" customWidth="1"/>
    <col min="4" max="4" width="21.140625" style="5" customWidth="1"/>
    <col min="5" max="5" width="56.42578125" style="5" customWidth="1"/>
    <col min="6" max="6" width="22" style="5" customWidth="1"/>
    <col min="7" max="7" width="23.5703125" style="5" customWidth="1"/>
    <col min="8" max="8" width="21.7109375" style="5" customWidth="1"/>
    <col min="9" max="9" width="35" style="5" customWidth="1"/>
    <col min="10" max="10" width="82.140625" style="5" customWidth="1"/>
    <col min="11" max="11" width="40.7109375" style="5" customWidth="1"/>
    <col min="12" max="12" width="83.28515625" style="5" customWidth="1"/>
    <col min="13" max="13" width="13.140625" style="5" bestFit="1" customWidth="1"/>
    <col min="14" max="14" width="12.5703125" style="5" customWidth="1"/>
    <col min="15" max="15" width="11.85546875" style="5" bestFit="1" customWidth="1"/>
    <col min="16" max="16" width="13.85546875" style="5" bestFit="1" customWidth="1"/>
    <col min="17" max="21" width="11.85546875" style="5" bestFit="1" customWidth="1"/>
    <col min="22" max="22" width="11.7109375" style="5" bestFit="1" customWidth="1"/>
    <col min="23" max="16384" width="9.140625" style="5"/>
  </cols>
  <sheetData>
    <row r="1" spans="2:17" ht="15" x14ac:dyDescent="0.2">
      <c r="B1" s="270"/>
    </row>
    <row r="2" spans="2:17" ht="15" x14ac:dyDescent="0.2">
      <c r="B2" s="335" t="s">
        <v>403</v>
      </c>
      <c r="C2" s="335"/>
      <c r="D2" s="335"/>
      <c r="E2" s="335"/>
      <c r="F2" s="335"/>
      <c r="G2" s="335"/>
      <c r="H2" s="335"/>
      <c r="I2" s="335"/>
      <c r="J2" s="335"/>
      <c r="K2" s="335"/>
      <c r="L2" s="335"/>
    </row>
    <row r="3" spans="2:17" ht="15" x14ac:dyDescent="0.2">
      <c r="B3" s="335" t="s">
        <v>492</v>
      </c>
      <c r="C3" s="335"/>
      <c r="D3" s="335"/>
      <c r="E3" s="335"/>
      <c r="F3" s="335"/>
      <c r="G3" s="335"/>
      <c r="H3" s="335"/>
      <c r="I3" s="335"/>
      <c r="J3" s="335"/>
      <c r="K3" s="335"/>
      <c r="L3" s="335"/>
    </row>
    <row r="4" spans="2:17" ht="15" x14ac:dyDescent="0.2">
      <c r="B4" s="289" t="s">
        <v>271</v>
      </c>
      <c r="C4" s="289"/>
      <c r="D4" s="289"/>
      <c r="E4" s="289"/>
      <c r="F4" s="289"/>
      <c r="G4" s="289"/>
      <c r="H4" s="289"/>
      <c r="I4" s="289"/>
      <c r="J4" s="289"/>
      <c r="K4" s="289"/>
      <c r="L4" s="289"/>
    </row>
    <row r="5" spans="2:17" ht="15" x14ac:dyDescent="0.2">
      <c r="K5" s="269"/>
    </row>
    <row r="6" spans="2:17" ht="60" x14ac:dyDescent="0.2">
      <c r="B6" s="271" t="s">
        <v>193</v>
      </c>
      <c r="C6" s="336" t="s">
        <v>246</v>
      </c>
      <c r="D6" s="234" t="s">
        <v>493</v>
      </c>
      <c r="E6" s="336" t="s">
        <v>247</v>
      </c>
      <c r="F6" s="234" t="s">
        <v>249</v>
      </c>
      <c r="G6" s="234" t="s">
        <v>494</v>
      </c>
      <c r="H6" s="234" t="s">
        <v>252</v>
      </c>
      <c r="I6" s="234" t="s">
        <v>495</v>
      </c>
      <c r="J6" s="336" t="s">
        <v>248</v>
      </c>
      <c r="K6" s="234" t="s">
        <v>253</v>
      </c>
      <c r="L6" s="234" t="s">
        <v>186</v>
      </c>
      <c r="M6" s="25"/>
      <c r="N6" s="25"/>
      <c r="O6" s="25"/>
      <c r="P6" s="25"/>
    </row>
    <row r="7" spans="2:17" s="32" customFormat="1" ht="15" x14ac:dyDescent="0.2">
      <c r="B7" s="185"/>
      <c r="C7" s="234" t="s">
        <v>496</v>
      </c>
      <c r="D7" s="337"/>
      <c r="E7" s="337"/>
      <c r="F7" s="337"/>
      <c r="G7" s="337"/>
      <c r="H7" s="337"/>
      <c r="I7" s="337"/>
      <c r="J7" s="337"/>
      <c r="K7" s="234"/>
      <c r="L7" s="338"/>
      <c r="M7" s="270"/>
      <c r="N7" s="270"/>
      <c r="O7" s="270"/>
      <c r="P7" s="270"/>
      <c r="Q7" s="270"/>
    </row>
    <row r="8" spans="2:17" ht="28.5" x14ac:dyDescent="0.2">
      <c r="B8" s="185">
        <v>1</v>
      </c>
      <c r="C8" s="185" t="s">
        <v>496</v>
      </c>
      <c r="D8" s="189" t="s">
        <v>497</v>
      </c>
      <c r="E8" s="339" t="s">
        <v>498</v>
      </c>
      <c r="F8" s="340">
        <v>3.4419544000000002</v>
      </c>
      <c r="G8" s="336"/>
      <c r="H8" s="340">
        <f>F8</f>
        <v>3.4419544000000002</v>
      </c>
      <c r="I8" s="189"/>
      <c r="J8" s="189"/>
      <c r="K8" s="189"/>
      <c r="L8" s="189" t="s">
        <v>499</v>
      </c>
    </row>
    <row r="9" spans="2:17" ht="15" x14ac:dyDescent="0.2">
      <c r="B9" s="185">
        <v>2</v>
      </c>
      <c r="C9" s="185" t="s">
        <v>496</v>
      </c>
      <c r="D9" s="189" t="s">
        <v>497</v>
      </c>
      <c r="E9" s="189" t="s">
        <v>500</v>
      </c>
      <c r="F9" s="340">
        <v>0.16785149999999999</v>
      </c>
      <c r="G9" s="340"/>
      <c r="H9" s="340">
        <f>F9</f>
        <v>0.16785149999999999</v>
      </c>
      <c r="I9" s="189"/>
      <c r="J9" s="189"/>
      <c r="K9" s="189"/>
      <c r="L9" s="189" t="s">
        <v>501</v>
      </c>
    </row>
    <row r="10" spans="2:17" ht="15" x14ac:dyDescent="0.2">
      <c r="B10" s="185">
        <v>3</v>
      </c>
      <c r="C10" s="185"/>
      <c r="D10" s="189"/>
      <c r="E10" s="189"/>
      <c r="F10" s="336"/>
      <c r="G10" s="336"/>
      <c r="H10" s="336"/>
      <c r="I10" s="189"/>
      <c r="J10" s="189"/>
      <c r="K10" s="189"/>
      <c r="L10" s="189"/>
    </row>
    <row r="11" spans="2:17" ht="15" x14ac:dyDescent="0.2">
      <c r="B11" s="189"/>
      <c r="C11" s="189" t="s">
        <v>9</v>
      </c>
      <c r="D11" s="189"/>
      <c r="E11" s="189"/>
      <c r="F11" s="336"/>
      <c r="G11" s="336"/>
      <c r="H11" s="336"/>
      <c r="I11" s="189"/>
      <c r="J11" s="189"/>
      <c r="K11" s="189"/>
      <c r="L11" s="189"/>
    </row>
    <row r="12" spans="2:17" ht="15" x14ac:dyDescent="0.2">
      <c r="B12" s="189"/>
      <c r="C12" s="336" t="s">
        <v>139</v>
      </c>
      <c r="D12" s="189"/>
      <c r="E12" s="189"/>
      <c r="F12" s="336"/>
      <c r="G12" s="336"/>
      <c r="H12" s="340">
        <f>SUM(H8:H11)</f>
        <v>3.6098059</v>
      </c>
      <c r="I12" s="189"/>
      <c r="J12" s="189"/>
      <c r="K12" s="189"/>
      <c r="L12" s="189"/>
    </row>
    <row r="13" spans="2:17" ht="15" x14ac:dyDescent="0.2">
      <c r="B13" s="185"/>
      <c r="C13" s="234" t="s">
        <v>502</v>
      </c>
      <c r="D13" s="189"/>
      <c r="E13" s="189"/>
      <c r="F13" s="336"/>
      <c r="G13" s="336"/>
      <c r="H13" s="336"/>
      <c r="I13" s="189"/>
      <c r="J13" s="189"/>
      <c r="K13" s="189"/>
      <c r="L13" s="189"/>
    </row>
    <row r="14" spans="2:17" ht="63.75" customHeight="1" x14ac:dyDescent="0.2">
      <c r="B14" s="185">
        <v>1</v>
      </c>
      <c r="C14" s="185"/>
      <c r="D14" s="189"/>
      <c r="E14" s="341" t="s">
        <v>503</v>
      </c>
      <c r="F14" s="342">
        <v>3</v>
      </c>
      <c r="G14" s="342">
        <v>3</v>
      </c>
      <c r="H14" s="342">
        <v>1.5</v>
      </c>
      <c r="I14" s="343" t="s">
        <v>132</v>
      </c>
      <c r="J14" s="344" t="s">
        <v>504</v>
      </c>
      <c r="K14" s="345" t="s">
        <v>505</v>
      </c>
      <c r="L14" s="345" t="s">
        <v>506</v>
      </c>
    </row>
    <row r="15" spans="2:17" ht="63" customHeight="1" x14ac:dyDescent="0.2">
      <c r="B15" s="185">
        <v>2</v>
      </c>
      <c r="C15" s="185"/>
      <c r="D15" s="189"/>
      <c r="E15" s="346" t="s">
        <v>507</v>
      </c>
      <c r="F15" s="342">
        <v>1.1000000000000001</v>
      </c>
      <c r="G15" s="342">
        <v>1.1000000000000001</v>
      </c>
      <c r="H15" s="342">
        <f>1.1/2</f>
        <v>0.55000000000000004</v>
      </c>
      <c r="I15" s="343" t="s">
        <v>508</v>
      </c>
      <c r="J15" s="344" t="s">
        <v>509</v>
      </c>
      <c r="K15" s="347" t="s">
        <v>505</v>
      </c>
      <c r="L15" s="347" t="s">
        <v>506</v>
      </c>
    </row>
    <row r="16" spans="2:17" ht="102" x14ac:dyDescent="0.2">
      <c r="B16" s="185"/>
      <c r="C16" s="185"/>
      <c r="D16" s="189" t="s">
        <v>510</v>
      </c>
      <c r="E16" s="348" t="s">
        <v>511</v>
      </c>
      <c r="F16" s="342">
        <v>1.88</v>
      </c>
      <c r="G16" s="342">
        <v>1.88</v>
      </c>
      <c r="H16" s="342">
        <v>1.88</v>
      </c>
      <c r="I16" s="343"/>
      <c r="J16" s="344" t="s">
        <v>512</v>
      </c>
      <c r="K16" s="347"/>
      <c r="L16" s="347"/>
    </row>
    <row r="17" spans="2:12" ht="25.5" x14ac:dyDescent="0.2">
      <c r="B17" s="185">
        <v>3</v>
      </c>
      <c r="C17" s="185"/>
      <c r="D17" s="189"/>
      <c r="E17" s="349" t="s">
        <v>513</v>
      </c>
      <c r="F17" s="342">
        <v>2.5299999999999998</v>
      </c>
      <c r="G17" s="342">
        <v>2.5299999999999998</v>
      </c>
      <c r="H17" s="342">
        <f>2.53/2</f>
        <v>1.2649999999999999</v>
      </c>
      <c r="I17" s="345"/>
      <c r="J17" s="344" t="s">
        <v>513</v>
      </c>
      <c r="K17" s="345" t="s">
        <v>505</v>
      </c>
      <c r="L17" s="350" t="s">
        <v>506</v>
      </c>
    </row>
    <row r="18" spans="2:12" ht="15" x14ac:dyDescent="0.2">
      <c r="B18" s="189"/>
      <c r="C18" s="189" t="s">
        <v>9</v>
      </c>
      <c r="D18" s="189"/>
      <c r="E18" s="189"/>
      <c r="F18" s="336"/>
      <c r="G18" s="336"/>
      <c r="H18" s="336"/>
      <c r="I18" s="189"/>
      <c r="J18" s="189"/>
      <c r="K18" s="189"/>
      <c r="L18" s="189"/>
    </row>
    <row r="19" spans="2:12" ht="15" x14ac:dyDescent="0.2">
      <c r="B19" s="189"/>
      <c r="C19" s="336" t="s">
        <v>139</v>
      </c>
      <c r="D19" s="189"/>
      <c r="E19" s="189"/>
      <c r="F19" s="336"/>
      <c r="G19" s="336"/>
      <c r="H19" s="340">
        <f>SUM(H14:H18)</f>
        <v>5.1949999999999994</v>
      </c>
      <c r="I19" s="189"/>
      <c r="J19" s="189"/>
      <c r="K19" s="189"/>
      <c r="L19" s="189"/>
    </row>
    <row r="20" spans="2:12" ht="15" x14ac:dyDescent="0.2">
      <c r="B20" s="185"/>
      <c r="C20" s="234" t="s">
        <v>514</v>
      </c>
      <c r="D20" s="189"/>
      <c r="E20" s="189"/>
      <c r="F20" s="336"/>
      <c r="G20" s="336"/>
      <c r="H20" s="336"/>
      <c r="I20" s="189"/>
      <c r="J20" s="189"/>
      <c r="K20" s="189"/>
      <c r="L20" s="189"/>
    </row>
    <row r="21" spans="2:12" x14ac:dyDescent="0.2">
      <c r="B21" s="351">
        <v>1</v>
      </c>
      <c r="C21" s="351" t="s">
        <v>514</v>
      </c>
      <c r="D21" s="352" t="s">
        <v>129</v>
      </c>
      <c r="E21" s="353" t="s">
        <v>515</v>
      </c>
      <c r="F21" s="354">
        <v>93</v>
      </c>
      <c r="G21" s="354">
        <v>93</v>
      </c>
      <c r="H21" s="355">
        <v>93</v>
      </c>
      <c r="I21" s="352" t="s">
        <v>516</v>
      </c>
      <c r="J21" s="356" t="s">
        <v>517</v>
      </c>
      <c r="K21" s="353" t="s">
        <v>518</v>
      </c>
      <c r="L21" s="356" t="s">
        <v>519</v>
      </c>
    </row>
    <row r="22" spans="2:12" x14ac:dyDescent="0.2">
      <c r="B22" s="357"/>
      <c r="C22" s="357"/>
      <c r="D22" s="358"/>
      <c r="E22" s="359"/>
      <c r="F22" s="354"/>
      <c r="G22" s="354"/>
      <c r="H22" s="355"/>
      <c r="I22" s="358"/>
      <c r="J22" s="360"/>
      <c r="K22" s="359"/>
      <c r="L22" s="360"/>
    </row>
    <row r="23" spans="2:12" ht="15" x14ac:dyDescent="0.2">
      <c r="B23" s="185">
        <v>3</v>
      </c>
      <c r="C23" s="185"/>
      <c r="D23" s="189"/>
      <c r="E23" s="189"/>
      <c r="F23" s="336"/>
      <c r="G23" s="336"/>
      <c r="H23" s="340"/>
      <c r="I23" s="189"/>
      <c r="J23" s="189"/>
      <c r="K23" s="189"/>
      <c r="L23" s="189"/>
    </row>
    <row r="24" spans="2:12" ht="15" x14ac:dyDescent="0.2">
      <c r="B24" s="189"/>
      <c r="C24" s="189" t="s">
        <v>9</v>
      </c>
      <c r="D24" s="189"/>
      <c r="E24" s="189"/>
      <c r="F24" s="336"/>
      <c r="G24" s="336"/>
      <c r="H24" s="340"/>
      <c r="I24" s="189"/>
      <c r="J24" s="189"/>
      <c r="K24" s="189"/>
      <c r="L24" s="189"/>
    </row>
    <row r="25" spans="2:12" ht="15" x14ac:dyDescent="0.2">
      <c r="B25" s="189"/>
      <c r="C25" s="336" t="s">
        <v>139</v>
      </c>
      <c r="D25" s="189"/>
      <c r="E25" s="189"/>
      <c r="F25" s="336"/>
      <c r="G25" s="336"/>
      <c r="H25" s="340">
        <f>SUM(H21:H24)</f>
        <v>93</v>
      </c>
      <c r="I25" s="189"/>
      <c r="J25" s="189"/>
      <c r="K25" s="189"/>
      <c r="L25" s="189"/>
    </row>
    <row r="26" spans="2:12" x14ac:dyDescent="0.2">
      <c r="B26" s="62" t="s">
        <v>250</v>
      </c>
      <c r="C26" s="50" t="s">
        <v>251</v>
      </c>
    </row>
  </sheetData>
  <mergeCells count="14">
    <mergeCell ref="I21:I22"/>
    <mergeCell ref="J21:J22"/>
    <mergeCell ref="K21:K22"/>
    <mergeCell ref="L21:L22"/>
    <mergeCell ref="B2:L2"/>
    <mergeCell ref="B3:L3"/>
    <mergeCell ref="B4:L4"/>
    <mergeCell ref="B21:B22"/>
    <mergeCell ref="C21:C22"/>
    <mergeCell ref="D21:D22"/>
    <mergeCell ref="E21:E22"/>
    <mergeCell ref="F21:F22"/>
    <mergeCell ref="G21:G22"/>
    <mergeCell ref="H21:H22"/>
  </mergeCells>
  <pageMargins left="0.27" right="0.25" top="1" bottom="1" header="0.25" footer="0.25"/>
  <pageSetup paperSize="9" scale="35" fitToHeight="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21"/>
  <sheetViews>
    <sheetView showGridLines="0" tabSelected="1" view="pageBreakPreview" zoomScaleSheetLayoutView="100" workbookViewId="0">
      <selection activeCell="F10" sqref="F10"/>
    </sheetView>
  </sheetViews>
  <sheetFormatPr defaultColWidth="9.28515625" defaultRowHeight="14.25" x14ac:dyDescent="0.2"/>
  <cols>
    <col min="1" max="2" width="9.28515625" style="88"/>
    <col min="3" max="3" width="42" style="88" customWidth="1"/>
    <col min="4" max="4" width="16.28515625" style="88" customWidth="1"/>
    <col min="5" max="5" width="12.5703125" style="88" customWidth="1"/>
    <col min="6" max="6" width="16.28515625" style="88" customWidth="1"/>
    <col min="7" max="16384" width="9.28515625" style="88"/>
  </cols>
  <sheetData>
    <row r="2" spans="2:6" ht="15" x14ac:dyDescent="0.2">
      <c r="D2" s="32" t="s">
        <v>403</v>
      </c>
    </row>
    <row r="3" spans="2:6" ht="15" x14ac:dyDescent="0.2">
      <c r="D3" s="32" t="s">
        <v>467</v>
      </c>
    </row>
    <row r="4" spans="2:6" ht="15" x14ac:dyDescent="0.2">
      <c r="D4" s="35" t="s">
        <v>297</v>
      </c>
    </row>
    <row r="6" spans="2:6" ht="15" customHeight="1" x14ac:dyDescent="0.2">
      <c r="B6" s="284" t="s">
        <v>193</v>
      </c>
      <c r="C6" s="296" t="s">
        <v>18</v>
      </c>
      <c r="D6" s="284" t="s">
        <v>405</v>
      </c>
      <c r="E6" s="136" t="s">
        <v>406</v>
      </c>
      <c r="F6" s="15" t="s">
        <v>466</v>
      </c>
    </row>
    <row r="7" spans="2:6" ht="15" x14ac:dyDescent="0.2">
      <c r="B7" s="284"/>
      <c r="C7" s="296"/>
      <c r="D7" s="284"/>
      <c r="E7" s="15" t="s">
        <v>239</v>
      </c>
      <c r="F7" s="15" t="s">
        <v>229</v>
      </c>
    </row>
    <row r="8" spans="2:6" ht="15" x14ac:dyDescent="0.2">
      <c r="B8" s="284"/>
      <c r="C8" s="296"/>
      <c r="D8" s="89" t="s">
        <v>3</v>
      </c>
      <c r="E8" s="15" t="s">
        <v>5</v>
      </c>
      <c r="F8" s="15" t="s">
        <v>8</v>
      </c>
    </row>
    <row r="9" spans="2:6" ht="15" x14ac:dyDescent="0.2">
      <c r="B9" s="90">
        <v>1</v>
      </c>
      <c r="C9" s="28" t="s">
        <v>298</v>
      </c>
      <c r="D9" s="111">
        <f>F3.1!H12</f>
        <v>3.6098059</v>
      </c>
      <c r="E9" s="111">
        <v>5.2</v>
      </c>
      <c r="F9" s="111">
        <v>93</v>
      </c>
    </row>
    <row r="10" spans="2:6" x14ac:dyDescent="0.2">
      <c r="B10" s="28"/>
      <c r="C10" s="28"/>
      <c r="D10" s="104"/>
      <c r="E10" s="104"/>
      <c r="F10" s="104"/>
    </row>
    <row r="11" spans="2:6" ht="15" x14ac:dyDescent="0.2">
      <c r="B11" s="90">
        <v>2</v>
      </c>
      <c r="C11" s="91" t="s">
        <v>187</v>
      </c>
      <c r="D11" s="104"/>
      <c r="E11" s="104"/>
      <c r="F11" s="104"/>
    </row>
    <row r="12" spans="2:6" x14ac:dyDescent="0.2">
      <c r="B12" s="28"/>
      <c r="C12" s="28" t="s">
        <v>192</v>
      </c>
      <c r="D12" s="104"/>
      <c r="E12" s="104"/>
      <c r="F12" s="104"/>
    </row>
    <row r="13" spans="2:6" x14ac:dyDescent="0.2">
      <c r="B13" s="28"/>
      <c r="C13" s="28" t="s">
        <v>191</v>
      </c>
      <c r="D13" s="104"/>
      <c r="E13" s="104"/>
      <c r="F13" s="104"/>
    </row>
    <row r="14" spans="2:6" x14ac:dyDescent="0.2">
      <c r="B14" s="28"/>
      <c r="C14" s="28" t="s">
        <v>9</v>
      </c>
      <c r="D14" s="104"/>
      <c r="E14" s="104"/>
      <c r="F14" s="104"/>
    </row>
    <row r="15" spans="2:6" ht="15" x14ac:dyDescent="0.2">
      <c r="B15" s="28"/>
      <c r="C15" s="91" t="s">
        <v>185</v>
      </c>
      <c r="D15" s="111">
        <f>SUM(D12:D14)</f>
        <v>0</v>
      </c>
      <c r="E15" s="111">
        <f>SUM(E12:E14)</f>
        <v>0</v>
      </c>
      <c r="F15" s="111">
        <f>SUM(F12:F14)</f>
        <v>0</v>
      </c>
    </row>
    <row r="16" spans="2:6" x14ac:dyDescent="0.2">
      <c r="B16" s="28"/>
      <c r="C16" s="28"/>
      <c r="D16" s="104"/>
      <c r="E16" s="104"/>
      <c r="F16" s="104"/>
    </row>
    <row r="17" spans="2:6" x14ac:dyDescent="0.2">
      <c r="B17" s="90">
        <v>3</v>
      </c>
      <c r="C17" s="28" t="s">
        <v>0</v>
      </c>
      <c r="D17" s="104"/>
      <c r="E17" s="104"/>
      <c r="F17" s="104"/>
    </row>
    <row r="18" spans="2:6" x14ac:dyDescent="0.2">
      <c r="B18" s="90">
        <v>4</v>
      </c>
      <c r="C18" s="28" t="s">
        <v>188</v>
      </c>
      <c r="D18" s="104">
        <f>D9</f>
        <v>3.6098059</v>
      </c>
      <c r="E18" s="104">
        <f>E9</f>
        <v>5.2</v>
      </c>
      <c r="F18" s="104">
        <f>F9</f>
        <v>93</v>
      </c>
    </row>
    <row r="19" spans="2:6" x14ac:dyDescent="0.2">
      <c r="B19" s="90">
        <v>5</v>
      </c>
      <c r="C19" s="28" t="s">
        <v>299</v>
      </c>
      <c r="D19" s="104"/>
      <c r="E19" s="104"/>
      <c r="F19" s="104"/>
    </row>
    <row r="20" spans="2:6" ht="15" x14ac:dyDescent="0.2">
      <c r="B20" s="28"/>
      <c r="C20" s="28"/>
      <c r="D20" s="108"/>
      <c r="E20" s="108"/>
      <c r="F20" s="108"/>
    </row>
    <row r="21" spans="2:6" ht="15" x14ac:dyDescent="0.2">
      <c r="B21" s="90">
        <v>6</v>
      </c>
      <c r="C21" s="91" t="s">
        <v>300</v>
      </c>
      <c r="D21" s="111">
        <f>D15+D17+D18+D19</f>
        <v>3.6098059</v>
      </c>
      <c r="E21" s="111">
        <f>SUM(E18:E20)</f>
        <v>5.2</v>
      </c>
      <c r="F21" s="111">
        <f>F15+F17+F18+F19</f>
        <v>93</v>
      </c>
    </row>
  </sheetData>
  <mergeCells count="3">
    <mergeCell ref="D6:D7"/>
    <mergeCell ref="B6:B8"/>
    <mergeCell ref="C6:C8"/>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2</vt:i4>
      </vt:variant>
    </vt:vector>
  </HeadingPairs>
  <TitlesOfParts>
    <vt:vector size="24" baseType="lpstr">
      <vt:lpstr>Checklist</vt:lpstr>
      <vt:lpstr>F1</vt:lpstr>
      <vt:lpstr>F2</vt:lpstr>
      <vt:lpstr>F2.1</vt:lpstr>
      <vt:lpstr>F2.2</vt:lpstr>
      <vt:lpstr>F2.3</vt:lpstr>
      <vt:lpstr>F3</vt:lpstr>
      <vt:lpstr>F3.1</vt:lpstr>
      <vt:lpstr>F3.2</vt:lpstr>
      <vt:lpstr>F4</vt:lpstr>
      <vt:lpstr>F4.1</vt:lpstr>
      <vt:lpstr>F5</vt:lpstr>
      <vt:lpstr>F6</vt:lpstr>
      <vt:lpstr>F7</vt:lpstr>
      <vt:lpstr>F8</vt:lpstr>
      <vt:lpstr>F9</vt:lpstr>
      <vt:lpstr>F10</vt:lpstr>
      <vt:lpstr>F11</vt:lpstr>
      <vt:lpstr>F11.1</vt:lpstr>
      <vt:lpstr>F12</vt:lpstr>
      <vt:lpstr>F13</vt:lpstr>
      <vt:lpstr>F15</vt:lpstr>
      <vt:lpstr>Checklist!Print_Area</vt:lpstr>
      <vt:lpstr>'F7'!Print_Area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Palaniappan M</dc:creator>
  <cp:lastModifiedBy>AE COMMERCIAL</cp:lastModifiedBy>
  <cp:lastPrinted>2025-11-28T11:53:47Z</cp:lastPrinted>
  <dcterms:created xsi:type="dcterms:W3CDTF">2004-07-28T05:30:50Z</dcterms:created>
  <dcterms:modified xsi:type="dcterms:W3CDTF">2025-12-16T10:39:40Z</dcterms:modified>
</cp:coreProperties>
</file>